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E:\Algemeen\_MANDEMA\Algemeen\Zorg en verzuim\MARK\WIA\Spreadsheetweb\Renewi\"/>
    </mc:Choice>
  </mc:AlternateContent>
  <xr:revisionPtr revIDLastSave="0" documentId="8_{6281084D-A974-4D2A-B1AC-CFBA317AEE2C}" xr6:coauthVersionLast="47" xr6:coauthVersionMax="47" xr10:uidLastSave="{00000000-0000-0000-0000-000000000000}"/>
  <bookViews>
    <workbookView xWindow="-120" yWindow="-120" windowWidth="30960" windowHeight="16920" firstSheet="6" activeTab="6" xr2:uid="{E188C628-D829-4588-A211-A594043AA8E0}"/>
  </bookViews>
  <sheets>
    <sheet name="Uitkeringen" sheetId="2" state="veryHidden" r:id="rId1"/>
    <sheet name="Grafiekblad" sheetId="3" state="veryHidden" r:id="rId2"/>
    <sheet name="database" sheetId="5" state="veryHidden" r:id="rId3"/>
    <sheet name="AOW datum" sheetId="8" state="veryHidden" r:id="rId4"/>
    <sheet name="Lijst" sheetId="6" state="veryHidden" r:id="rId5"/>
    <sheet name="Indicatie inkomen bij ziekte" sheetId="4" state="veryHidden" r:id="rId6"/>
    <sheet name="WIA Aanvullingen" sheetId="7" r:id="rId7"/>
  </sheets>
  <definedNames>
    <definedName name="_xlnm.Print_Area" localSheetId="5">'Indicatie inkomen bij ziekte'!$A$1:$K$109</definedName>
    <definedName name="_xlnm.Print_Area" localSheetId="6">'WIA Aanvullingen'!$A$1:$U$271</definedName>
    <definedName name="Excedent1">'WIA Aanvullingen'!$G$150</definedName>
    <definedName name="Excedent2">'WIA Aanvullingen'!$M$150</definedName>
    <definedName name="Grafiek_1">Grafiekblad!$K$8:$Q$16</definedName>
    <definedName name="grafiek_sc1">Grafiekblad!$B$8:$S$16</definedName>
    <definedName name="grafiek_sc2">Grafiekblad!$B$29:$H$37</definedName>
    <definedName name="Hiaatloon1">'WIA Aanvullingen'!$G$137</definedName>
    <definedName name="Hiaatloon2">'WIA Aanvullingen'!$M$137</definedName>
    <definedName name="Inkomen">'WIA Aanvullingen'!$F$37</definedName>
    <definedName name="Max_SV">Uitkeringen!$D$4</definedName>
    <definedName name="Min_loon">Uitkeringen!$D$3</definedName>
    <definedName name="tekst_1">'Indicatie inkomen bij ziekte'!$D$13:$J$17</definedName>
    <definedName name="tekst1">Grafiekblad!$B$1:$K$2</definedName>
    <definedName name="tekst2">Grafiekblad!$B$4:$K$5</definedName>
    <definedName name="tekst3">Grafiekblad!$B$25:$K$26</definedName>
    <definedName name="tekst4">Grafiekblad!$B$5</definedName>
    <definedName name="test">Grafiekblad!$B$18:$H$26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7" l="1"/>
  <c r="E52" i="7"/>
  <c r="O39" i="5" l="1"/>
  <c r="V39" i="5" s="1"/>
  <c r="AC39" i="5" s="1"/>
  <c r="AC41" i="5"/>
  <c r="AB41" i="5"/>
  <c r="AB40" i="5"/>
  <c r="V41" i="5"/>
  <c r="U41" i="5"/>
  <c r="U40" i="5"/>
  <c r="O41" i="5"/>
  <c r="N41" i="5"/>
  <c r="N40" i="5"/>
  <c r="M9" i="3"/>
  <c r="H41" i="5"/>
  <c r="G41" i="5"/>
  <c r="G11" i="2"/>
  <c r="AD42" i="5" s="1"/>
  <c r="AD43" i="5" s="1"/>
  <c r="AD44" i="5" s="1"/>
  <c r="AA47" i="5"/>
  <c r="AA45" i="5"/>
  <c r="AA44" i="5"/>
  <c r="AA43" i="5"/>
  <c r="AE45" i="5"/>
  <c r="AE46" i="5" s="1"/>
  <c r="AE43" i="5"/>
  <c r="G148" i="7"/>
  <c r="F47" i="5"/>
  <c r="G137" i="7"/>
  <c r="AF45" i="5" s="1"/>
  <c r="C47" i="5"/>
  <c r="F46" i="5"/>
  <c r="C46" i="5"/>
  <c r="F45" i="5"/>
  <c r="C45" i="5"/>
  <c r="F44" i="5"/>
  <c r="C44" i="5"/>
  <c r="C43" i="5"/>
  <c r="P42" i="5"/>
  <c r="P43" i="5" s="1"/>
  <c r="C42" i="5"/>
  <c r="C41" i="5"/>
  <c r="G40" i="5"/>
  <c r="C40" i="5"/>
  <c r="R39" i="5"/>
  <c r="Y39" i="5" s="1"/>
  <c r="Q39" i="5"/>
  <c r="X39" i="5" s="1"/>
  <c r="AE39" i="5" s="1"/>
  <c r="P39" i="5"/>
  <c r="W39" i="5" s="1"/>
  <c r="AD39" i="5" s="1"/>
  <c r="N39" i="5"/>
  <c r="U39" i="5" s="1"/>
  <c r="AB39" i="5" s="1"/>
  <c r="C39" i="5"/>
  <c r="D6" i="2"/>
  <c r="F26" i="5"/>
  <c r="F35" i="5"/>
  <c r="A3" i="8"/>
  <c r="D4" i="8" s="1"/>
  <c r="B20" i="8"/>
  <c r="B21" i="8" s="1"/>
  <c r="F19" i="8"/>
  <c r="C19" i="8"/>
  <c r="C20" i="8" s="1"/>
  <c r="C21" i="8" s="1"/>
  <c r="C22" i="8" s="1"/>
  <c r="C23" i="8" s="1"/>
  <c r="C24" i="8" s="1"/>
  <c r="C25" i="8" s="1"/>
  <c r="F18" i="8"/>
  <c r="C18" i="8"/>
  <c r="F17" i="8"/>
  <c r="C17" i="8"/>
  <c r="F16" i="8"/>
  <c r="C16" i="8"/>
  <c r="F15" i="8"/>
  <c r="C15" i="8"/>
  <c r="F14" i="8"/>
  <c r="C14" i="8"/>
  <c r="C13" i="8"/>
  <c r="C12" i="8"/>
  <c r="C11" i="8"/>
  <c r="C10" i="8"/>
  <c r="C9" i="8"/>
  <c r="C8" i="8"/>
  <c r="D39" i="5" l="1"/>
  <c r="AD45" i="5"/>
  <c r="AD46" i="5" s="1"/>
  <c r="AD47" i="5" s="1"/>
  <c r="AF42" i="5"/>
  <c r="AF44" i="5"/>
  <c r="E42" i="5" s="1"/>
  <c r="AF43" i="5"/>
  <c r="AE47" i="5"/>
  <c r="P44" i="5"/>
  <c r="F29" i="5"/>
  <c r="F38" i="5"/>
  <c r="F34" i="5"/>
  <c r="F25" i="5"/>
  <c r="C26" i="8"/>
  <c r="D25" i="8"/>
  <c r="B22" i="8"/>
  <c r="F21" i="8"/>
  <c r="F20" i="8"/>
  <c r="P45" i="5" l="1"/>
  <c r="P46" i="5" s="1"/>
  <c r="P47" i="5" s="1"/>
  <c r="Y29" i="5"/>
  <c r="B23" i="8"/>
  <c r="F22" i="8" s="1"/>
  <c r="C27" i="8"/>
  <c r="D26" i="8"/>
  <c r="C28" i="8" l="1"/>
  <c r="D27" i="8"/>
  <c r="B24" i="8"/>
  <c r="F23" i="8"/>
  <c r="B25" i="8" l="1"/>
  <c r="F24" i="8"/>
  <c r="C29" i="8"/>
  <c r="D28" i="8"/>
  <c r="C30" i="8" l="1"/>
  <c r="D29" i="8"/>
  <c r="B26" i="8"/>
  <c r="B27" i="8" l="1"/>
  <c r="F26" i="8"/>
  <c r="F25" i="8"/>
  <c r="C31" i="8"/>
  <c r="D30" i="8"/>
  <c r="C32" i="8" l="1"/>
  <c r="D31" i="8"/>
  <c r="B28" i="8"/>
  <c r="B29" i="8" l="1"/>
  <c r="F28" i="8"/>
  <c r="F27" i="8"/>
  <c r="C33" i="8"/>
  <c r="D32" i="8"/>
  <c r="C34" i="8" l="1"/>
  <c r="D33" i="8"/>
  <c r="B30" i="8"/>
  <c r="B31" i="8" l="1"/>
  <c r="F30" i="8"/>
  <c r="F29" i="8"/>
  <c r="C35" i="8"/>
  <c r="D34" i="8"/>
  <c r="C36" i="8" l="1"/>
  <c r="D35" i="8"/>
  <c r="B32" i="8"/>
  <c r="B33" i="8" l="1"/>
  <c r="F32" i="8"/>
  <c r="F31" i="8"/>
  <c r="C37" i="8"/>
  <c r="D36" i="8"/>
  <c r="C38" i="8" l="1"/>
  <c r="D37" i="8"/>
  <c r="B34" i="8"/>
  <c r="B35" i="8" l="1"/>
  <c r="F34" i="8"/>
  <c r="F33" i="8"/>
  <c r="D38" i="8"/>
  <c r="C39" i="8"/>
  <c r="C40" i="8" l="1"/>
  <c r="D39" i="8"/>
  <c r="B36" i="8"/>
  <c r="B37" i="8" l="1"/>
  <c r="F36" i="8"/>
  <c r="F35" i="8"/>
  <c r="C41" i="8"/>
  <c r="D40" i="8"/>
  <c r="C42" i="8" l="1"/>
  <c r="D41" i="8"/>
  <c r="B38" i="8"/>
  <c r="B39" i="8" l="1"/>
  <c r="F38" i="8"/>
  <c r="F37" i="8"/>
  <c r="C43" i="8"/>
  <c r="D42" i="8"/>
  <c r="C44" i="8" l="1"/>
  <c r="D43" i="8"/>
  <c r="B40" i="8"/>
  <c r="B41" i="8" l="1"/>
  <c r="F40" i="8"/>
  <c r="F39" i="8"/>
  <c r="C45" i="8"/>
  <c r="D44" i="8"/>
  <c r="C46" i="8" l="1"/>
  <c r="D45" i="8"/>
  <c r="F41" i="8"/>
  <c r="B42" i="8"/>
  <c r="B43" i="8" l="1"/>
  <c r="F42" i="8"/>
  <c r="C47" i="8"/>
  <c r="D46" i="8"/>
  <c r="C48" i="8" l="1"/>
  <c r="D47" i="8"/>
  <c r="B44" i="8"/>
  <c r="B45" i="8" l="1"/>
  <c r="F44" i="8"/>
  <c r="F43" i="8"/>
  <c r="C49" i="8"/>
  <c r="D48" i="8"/>
  <c r="C50" i="8" l="1"/>
  <c r="D49" i="8"/>
  <c r="B46" i="8"/>
  <c r="C3" i="8"/>
  <c r="D3" i="8"/>
  <c r="B47" i="8" l="1"/>
  <c r="F46" i="8"/>
  <c r="F45" i="8"/>
  <c r="C51" i="8"/>
  <c r="D50" i="8"/>
  <c r="C52" i="8" l="1"/>
  <c r="D51" i="8"/>
  <c r="B48" i="8"/>
  <c r="B49" i="8" l="1"/>
  <c r="F48" i="8"/>
  <c r="F47" i="8"/>
  <c r="C53" i="8"/>
  <c r="D52" i="8"/>
  <c r="C54" i="8" l="1"/>
  <c r="D53" i="8"/>
  <c r="B50" i="8"/>
  <c r="B51" i="8" l="1"/>
  <c r="E50" i="8"/>
  <c r="F50" i="8"/>
  <c r="F49" i="8"/>
  <c r="C55" i="8"/>
  <c r="D54" i="8"/>
  <c r="C56" i="8" l="1"/>
  <c r="D55" i="8"/>
  <c r="B52" i="8"/>
  <c r="E51" i="8"/>
  <c r="E19" i="8"/>
  <c r="E17" i="8"/>
  <c r="E15" i="8"/>
  <c r="E16" i="8"/>
  <c r="E14" i="8"/>
  <c r="E13" i="8"/>
  <c r="E12" i="8"/>
  <c r="E11" i="8"/>
  <c r="E10" i="8"/>
  <c r="E9" i="8"/>
  <c r="E18" i="8"/>
  <c r="E21" i="8"/>
  <c r="E20"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B53" i="8" l="1"/>
  <c r="F52" i="8"/>
  <c r="F51" i="8"/>
  <c r="D56" i="8"/>
  <c r="C57" i="8"/>
  <c r="C58" i="8" l="1"/>
  <c r="D57" i="8"/>
  <c r="B54" i="8"/>
  <c r="B55" i="8" l="1"/>
  <c r="F54" i="8"/>
  <c r="F53" i="8"/>
  <c r="C59" i="8"/>
  <c r="D58" i="8"/>
  <c r="C60" i="8" l="1"/>
  <c r="D59" i="8"/>
  <c r="B56" i="8"/>
  <c r="B57" i="8" l="1"/>
  <c r="F56" i="8"/>
  <c r="F55" i="8"/>
  <c r="C61" i="8"/>
  <c r="D60" i="8"/>
  <c r="C62" i="8" l="1"/>
  <c r="D61" i="8"/>
  <c r="B58" i="8"/>
  <c r="B59" i="8" l="1"/>
  <c r="F58" i="8"/>
  <c r="F57" i="8"/>
  <c r="C63" i="8"/>
  <c r="D62" i="8"/>
  <c r="C64" i="8" l="1"/>
  <c r="D63" i="8"/>
  <c r="B60" i="8"/>
  <c r="B61" i="8" l="1"/>
  <c r="F60" i="8"/>
  <c r="F59" i="8"/>
  <c r="D64" i="8"/>
  <c r="C65" i="8"/>
  <c r="C66" i="8" l="1"/>
  <c r="D65" i="8"/>
  <c r="B62" i="8"/>
  <c r="B63" i="8" l="1"/>
  <c r="F62" i="8"/>
  <c r="F61" i="8"/>
  <c r="C67" i="8"/>
  <c r="D66" i="8"/>
  <c r="C68" i="8" l="1"/>
  <c r="D67" i="8"/>
  <c r="B64" i="8"/>
  <c r="B65" i="8" l="1"/>
  <c r="F64" i="8"/>
  <c r="F63" i="8"/>
  <c r="C69" i="8"/>
  <c r="D68" i="8"/>
  <c r="C70" i="8" l="1"/>
  <c r="D69" i="8"/>
  <c r="B66" i="8"/>
  <c r="B67" i="8" l="1"/>
  <c r="F66" i="8"/>
  <c r="F65" i="8"/>
  <c r="C71" i="8"/>
  <c r="D70" i="8"/>
  <c r="C72" i="8" l="1"/>
  <c r="D71" i="8"/>
  <c r="B68" i="8"/>
  <c r="B69" i="8" l="1"/>
  <c r="F68" i="8"/>
  <c r="F67" i="8"/>
  <c r="D72" i="8"/>
  <c r="C73" i="8"/>
  <c r="C74" i="8" l="1"/>
  <c r="D73" i="8"/>
  <c r="B70" i="8"/>
  <c r="B71" i="8" l="1"/>
  <c r="F70" i="8"/>
  <c r="F69" i="8"/>
  <c r="C75" i="8"/>
  <c r="D74" i="8"/>
  <c r="C76" i="8" l="1"/>
  <c r="D75" i="8"/>
  <c r="F71" i="8"/>
  <c r="B72" i="8"/>
  <c r="C77" i="8" l="1"/>
  <c r="D76" i="8"/>
  <c r="B73" i="8"/>
  <c r="F72" i="8"/>
  <c r="E73" i="8" l="1"/>
  <c r="B74" i="8"/>
  <c r="E52" i="8"/>
  <c r="E53" i="8"/>
  <c r="E54" i="8"/>
  <c r="E55" i="8"/>
  <c r="E56" i="8"/>
  <c r="E57" i="8"/>
  <c r="E58" i="8"/>
  <c r="E59" i="8"/>
  <c r="E60" i="8"/>
  <c r="E61" i="8"/>
  <c r="E62" i="8"/>
  <c r="E63" i="8"/>
  <c r="E64" i="8"/>
  <c r="E65" i="8"/>
  <c r="E66" i="8"/>
  <c r="E67" i="8"/>
  <c r="E68" i="8"/>
  <c r="E69" i="8"/>
  <c r="E70" i="8"/>
  <c r="E71" i="8"/>
  <c r="C78" i="8"/>
  <c r="D77" i="8"/>
  <c r="E72" i="8"/>
  <c r="C79" i="8" l="1"/>
  <c r="D78" i="8"/>
  <c r="B75" i="8"/>
  <c r="F74" i="8"/>
  <c r="F73" i="8"/>
  <c r="F75" i="8" l="1"/>
  <c r="B76" i="8"/>
  <c r="C80" i="8"/>
  <c r="D79" i="8"/>
  <c r="D80" i="8" l="1"/>
  <c r="C81" i="8"/>
  <c r="B77" i="8"/>
  <c r="F76" i="8"/>
  <c r="B78" i="8" l="1"/>
  <c r="C82" i="8"/>
  <c r="D81" i="8"/>
  <c r="B79" i="8" l="1"/>
  <c r="E78" i="8"/>
  <c r="F78" i="8"/>
  <c r="E74" i="8"/>
  <c r="E75" i="8"/>
  <c r="E76" i="8"/>
  <c r="F77" i="8"/>
  <c r="C83" i="8"/>
  <c r="D83" i="8" s="1"/>
  <c r="D82" i="8"/>
  <c r="E77" i="8"/>
  <c r="B80" i="8" l="1"/>
  <c r="B81" i="8" l="1"/>
  <c r="E80" i="8" s="1"/>
  <c r="F80" i="8"/>
  <c r="F79" i="8"/>
  <c r="E81" i="8" l="1"/>
  <c r="B82" i="8"/>
  <c r="E79" i="8"/>
  <c r="B83" i="8" l="1"/>
  <c r="E82" i="8"/>
  <c r="F82" i="8"/>
  <c r="F81" i="8"/>
  <c r="F83" i="8" l="1"/>
  <c r="E83" i="8"/>
  <c r="S21" i="5" l="1"/>
  <c r="Z21" i="5" s="1"/>
  <c r="R21" i="5"/>
  <c r="Y21" i="5" s="1"/>
  <c r="Q21" i="5"/>
  <c r="X21" i="5" s="1"/>
  <c r="P21" i="5"/>
  <c r="W21" i="5" s="1"/>
  <c r="N21" i="5"/>
  <c r="U21" i="5" s="1"/>
  <c r="N30" i="5"/>
  <c r="U30" i="5" s="1"/>
  <c r="P30" i="5"/>
  <c r="W30" i="5" s="1"/>
  <c r="Q30" i="5"/>
  <c r="X30" i="5" s="1"/>
  <c r="F28" i="5"/>
  <c r="F37" i="5"/>
  <c r="F36" i="5"/>
  <c r="D21" i="5" l="1"/>
  <c r="D30" i="5" l="1"/>
  <c r="F27" i="5"/>
  <c r="S30" i="5"/>
  <c r="Z30" i="5" s="1"/>
  <c r="R30" i="5"/>
  <c r="Y30" i="5" s="1"/>
  <c r="C38" i="5"/>
  <c r="C37" i="5"/>
  <c r="C36" i="5"/>
  <c r="C35" i="5"/>
  <c r="C34" i="5"/>
  <c r="C33" i="5"/>
  <c r="C32" i="5"/>
  <c r="C31" i="5"/>
  <c r="C30" i="5"/>
  <c r="R8" i="3" s="1"/>
  <c r="C29" i="5"/>
  <c r="C28" i="5"/>
  <c r="C27" i="5"/>
  <c r="C26" i="5"/>
  <c r="C25" i="5"/>
  <c r="C24" i="5"/>
  <c r="C23" i="5"/>
  <c r="C22" i="5"/>
  <c r="C21" i="5"/>
  <c r="A8" i="3" s="1"/>
  <c r="D71" i="3" l="1"/>
  <c r="M71" i="3" s="1"/>
  <c r="D29" i="3"/>
  <c r="M29" i="3" s="1"/>
  <c r="D50" i="3"/>
  <c r="M50" i="3" s="1"/>
  <c r="D8" i="3"/>
  <c r="M8" i="3" s="1"/>
  <c r="D73" i="3"/>
  <c r="D31" i="3"/>
  <c r="D52" i="3"/>
  <c r="D10" i="3"/>
  <c r="M10" i="3" s="1"/>
  <c r="M73" i="3"/>
  <c r="M31" i="3"/>
  <c r="M52" i="3"/>
  <c r="E71" i="3"/>
  <c r="N71" i="3" s="1"/>
  <c r="G71" i="3"/>
  <c r="P71" i="3" s="1"/>
  <c r="I71" i="3"/>
  <c r="E72" i="3"/>
  <c r="G72" i="3"/>
  <c r="I72" i="3"/>
  <c r="F73" i="3"/>
  <c r="H73" i="3"/>
  <c r="E74" i="3"/>
  <c r="N74" i="3" s="1"/>
  <c r="G74" i="3"/>
  <c r="P74" i="3" s="1"/>
  <c r="I74" i="3"/>
  <c r="F75" i="3"/>
  <c r="O75" i="3" s="1"/>
  <c r="H75" i="3"/>
  <c r="Q75" i="3" s="1"/>
  <c r="E76" i="3"/>
  <c r="N76" i="3" s="1"/>
  <c r="G76" i="3"/>
  <c r="P76" i="3" s="1"/>
  <c r="I76" i="3"/>
  <c r="F77" i="3"/>
  <c r="H77" i="3"/>
  <c r="Q77" i="3" s="1"/>
  <c r="E78" i="3"/>
  <c r="N78" i="3" s="1"/>
  <c r="G78" i="3"/>
  <c r="P78" i="3" s="1"/>
  <c r="I78" i="3"/>
  <c r="F79" i="3"/>
  <c r="O79" i="3" s="1"/>
  <c r="H79" i="3"/>
  <c r="Q79" i="3" s="1"/>
  <c r="C73" i="3"/>
  <c r="L73" i="3" s="1"/>
  <c r="C75" i="3"/>
  <c r="C77" i="3"/>
  <c r="C79" i="3"/>
  <c r="B68" i="3"/>
  <c r="F71" i="3"/>
  <c r="O71" i="3" s="1"/>
  <c r="H71" i="3"/>
  <c r="Q71" i="3" s="1"/>
  <c r="C71" i="3"/>
  <c r="L71" i="3" s="1"/>
  <c r="F72" i="3"/>
  <c r="H72" i="3"/>
  <c r="E73" i="3"/>
  <c r="G73" i="3"/>
  <c r="I73" i="3"/>
  <c r="F74" i="3"/>
  <c r="O74" i="3" s="1"/>
  <c r="H74" i="3"/>
  <c r="Q74" i="3" s="1"/>
  <c r="E75" i="3"/>
  <c r="N75" i="3" s="1"/>
  <c r="G75" i="3"/>
  <c r="P75" i="3" s="1"/>
  <c r="I75" i="3"/>
  <c r="F76" i="3"/>
  <c r="O76" i="3" s="1"/>
  <c r="H76" i="3"/>
  <c r="Q76" i="3" s="1"/>
  <c r="E77" i="3"/>
  <c r="N77" i="3" s="1"/>
  <c r="G77" i="3"/>
  <c r="P77" i="3" s="1"/>
  <c r="I77" i="3"/>
  <c r="F78" i="3"/>
  <c r="O78" i="3" s="1"/>
  <c r="H78" i="3"/>
  <c r="Q78" i="3" s="1"/>
  <c r="E79" i="3"/>
  <c r="N79" i="3" s="1"/>
  <c r="G79" i="3"/>
  <c r="P79" i="3" s="1"/>
  <c r="I79" i="3"/>
  <c r="C74" i="3"/>
  <c r="C76" i="3"/>
  <c r="C78" i="3"/>
  <c r="C72" i="3"/>
  <c r="L72" i="3" s="1"/>
  <c r="B73" i="3"/>
  <c r="B75" i="3"/>
  <c r="B77" i="3"/>
  <c r="B79" i="3"/>
  <c r="B71" i="3"/>
  <c r="O77" i="3"/>
  <c r="B74" i="3"/>
  <c r="B76" i="3"/>
  <c r="B78" i="3"/>
  <c r="B72" i="3"/>
  <c r="D31" i="5"/>
  <c r="T4" i="3" s="1"/>
  <c r="V50" i="3"/>
  <c r="AD50" i="3" s="1"/>
  <c r="T3" i="3"/>
  <c r="Y16" i="3"/>
  <c r="S37" i="3"/>
  <c r="S35" i="3"/>
  <c r="S33" i="3"/>
  <c r="S31" i="3"/>
  <c r="T29" i="3"/>
  <c r="AB29" i="3" s="1"/>
  <c r="T36" i="3"/>
  <c r="T34" i="3"/>
  <c r="T32" i="3"/>
  <c r="W31" i="3"/>
  <c r="U31" i="3"/>
  <c r="W30" i="3"/>
  <c r="U30" i="3"/>
  <c r="W29" i="3"/>
  <c r="AE29" i="3" s="1"/>
  <c r="U29" i="3"/>
  <c r="AC29" i="3" s="1"/>
  <c r="S58" i="3"/>
  <c r="S56" i="3"/>
  <c r="S54" i="3"/>
  <c r="S52" i="3"/>
  <c r="T50" i="3"/>
  <c r="AB50" i="3" s="1"/>
  <c r="T57" i="3"/>
  <c r="T55" i="3"/>
  <c r="T53" i="3"/>
  <c r="U58" i="3"/>
  <c r="U57" i="3"/>
  <c r="U56" i="3"/>
  <c r="U55" i="3"/>
  <c r="U54" i="3"/>
  <c r="U53" i="3"/>
  <c r="W52" i="3"/>
  <c r="U52" i="3"/>
  <c r="W51" i="3"/>
  <c r="U51" i="3"/>
  <c r="W50" i="3"/>
  <c r="AE50" i="3" s="1"/>
  <c r="U50" i="3"/>
  <c r="AC50" i="3" s="1"/>
  <c r="S29" i="3"/>
  <c r="S36" i="3"/>
  <c r="S34" i="3"/>
  <c r="S32" i="3"/>
  <c r="S30" i="3"/>
  <c r="T37" i="3"/>
  <c r="T35" i="3"/>
  <c r="T33" i="3"/>
  <c r="X31" i="3"/>
  <c r="V31" i="3"/>
  <c r="X30" i="3"/>
  <c r="V30" i="3"/>
  <c r="X29" i="3"/>
  <c r="AF29" i="3" s="1"/>
  <c r="V29" i="3"/>
  <c r="AD29" i="3" s="1"/>
  <c r="S50" i="3"/>
  <c r="S57" i="3"/>
  <c r="S55" i="3"/>
  <c r="S53" i="3"/>
  <c r="S51" i="3"/>
  <c r="T58" i="3"/>
  <c r="T56" i="3"/>
  <c r="T54" i="3"/>
  <c r="X52" i="3"/>
  <c r="V52" i="3"/>
  <c r="X51" i="3"/>
  <c r="V51" i="3"/>
  <c r="X50" i="3"/>
  <c r="AF50" i="3" s="1"/>
  <c r="Z33" i="5"/>
  <c r="Z34" i="5" s="1"/>
  <c r="Z35" i="5" s="1"/>
  <c r="Z36" i="5" s="1"/>
  <c r="Z37" i="5" s="1"/>
  <c r="S33" i="5"/>
  <c r="S34" i="5" s="1"/>
  <c r="S35" i="5" s="1"/>
  <c r="S36" i="5" s="1"/>
  <c r="S37" i="5" s="1"/>
  <c r="L33" i="5"/>
  <c r="G150" i="7"/>
  <c r="L39" i="5" s="1"/>
  <c r="S39" i="5" s="1"/>
  <c r="Z39" i="5" s="1"/>
  <c r="P33" i="5"/>
  <c r="U32" i="3" s="1"/>
  <c r="U32" i="5"/>
  <c r="T52" i="3" s="1"/>
  <c r="G32" i="5"/>
  <c r="U31" i="5"/>
  <c r="T51" i="3" s="1"/>
  <c r="G31" i="5"/>
  <c r="T9" i="3" s="1"/>
  <c r="AB9" i="3" s="1"/>
  <c r="P24" i="5"/>
  <c r="U23" i="5"/>
  <c r="G23" i="5"/>
  <c r="U22" i="5"/>
  <c r="G22" i="5"/>
  <c r="N32" i="5"/>
  <c r="T31" i="3" s="1"/>
  <c r="N31" i="5"/>
  <c r="T30" i="3" s="1"/>
  <c r="N23" i="5"/>
  <c r="N22" i="5"/>
  <c r="S9" i="3"/>
  <c r="U11" i="3"/>
  <c r="AC11" i="3" s="1"/>
  <c r="Y15" i="3"/>
  <c r="V8" i="3"/>
  <c r="AD8" i="3" s="1"/>
  <c r="W9" i="3"/>
  <c r="X10" i="3"/>
  <c r="Y11" i="3"/>
  <c r="S13" i="3"/>
  <c r="T14" i="3"/>
  <c r="U15" i="3"/>
  <c r="AC15" i="3" s="1"/>
  <c r="T8" i="3"/>
  <c r="AB8" i="3" s="1"/>
  <c r="X8" i="3"/>
  <c r="AF8" i="3" s="1"/>
  <c r="U9" i="3"/>
  <c r="Y9" i="3"/>
  <c r="V10" i="3"/>
  <c r="S11" i="3"/>
  <c r="T12" i="3"/>
  <c r="U13" i="3"/>
  <c r="AC13" i="3" s="1"/>
  <c r="Y13" i="3"/>
  <c r="S15" i="3"/>
  <c r="T16" i="3"/>
  <c r="S8" i="3"/>
  <c r="U8" i="3"/>
  <c r="AC8" i="3" s="1"/>
  <c r="W8" i="3"/>
  <c r="AE8" i="3" s="1"/>
  <c r="Y8" i="3"/>
  <c r="V9" i="3"/>
  <c r="X9" i="3"/>
  <c r="S10" i="3"/>
  <c r="U10" i="3"/>
  <c r="W10" i="3"/>
  <c r="Y10" i="3"/>
  <c r="T11" i="3"/>
  <c r="S12" i="3"/>
  <c r="U12" i="3"/>
  <c r="AC12" i="3" s="1"/>
  <c r="Y12" i="3"/>
  <c r="T13" i="3"/>
  <c r="S14" i="3"/>
  <c r="U14" i="3"/>
  <c r="AC14" i="3" s="1"/>
  <c r="Y14" i="3"/>
  <c r="T15" i="3"/>
  <c r="S16" i="3"/>
  <c r="U16" i="3"/>
  <c r="AC16" i="3" s="1"/>
  <c r="S52" i="7" l="1"/>
  <c r="S50" i="7"/>
  <c r="S48" i="7"/>
  <c r="S46" i="7"/>
  <c r="S44" i="7"/>
  <c r="Q47" i="7"/>
  <c r="Q45" i="7"/>
  <c r="P43" i="7"/>
  <c r="S51" i="7"/>
  <c r="S49" i="7"/>
  <c r="S47" i="7"/>
  <c r="S45" i="7"/>
  <c r="Q50" i="7"/>
  <c r="Q46" i="7"/>
  <c r="Q44" i="7"/>
  <c r="Z42" i="5"/>
  <c r="Z43" i="5" s="1"/>
  <c r="Z44" i="5" s="1"/>
  <c r="Z45" i="5" s="1"/>
  <c r="Z46" i="5" s="1"/>
  <c r="Z47" i="5" s="1"/>
  <c r="S42" i="5"/>
  <c r="S43" i="5" s="1"/>
  <c r="S44" i="5" s="1"/>
  <c r="S45" i="5" s="1"/>
  <c r="S46" i="5" s="1"/>
  <c r="S47" i="5" s="1"/>
  <c r="D40" i="5"/>
  <c r="D41" i="5" s="1"/>
  <c r="L42" i="5"/>
  <c r="L43" i="5" s="1"/>
  <c r="L44" i="5" s="1"/>
  <c r="L45" i="5" s="1"/>
  <c r="L46" i="5" s="1"/>
  <c r="L47" i="5" s="1"/>
  <c r="P34" i="5"/>
  <c r="U33" i="3" s="1"/>
  <c r="Z38" i="5"/>
  <c r="X58" i="3" s="1"/>
  <c r="S38" i="5"/>
  <c r="X37" i="3" s="1"/>
  <c r="P25" i="5"/>
  <c r="P26" i="5" s="1"/>
  <c r="T10" i="3"/>
  <c r="AB10" i="3" s="1"/>
  <c r="X53" i="3"/>
  <c r="X55" i="3"/>
  <c r="X57" i="3"/>
  <c r="X54" i="3"/>
  <c r="X56" i="3"/>
  <c r="X32" i="3"/>
  <c r="X33" i="3"/>
  <c r="X34" i="3"/>
  <c r="X35" i="3"/>
  <c r="X36" i="3"/>
  <c r="Z24" i="5"/>
  <c r="Z25" i="5" s="1"/>
  <c r="Z26" i="5" s="1"/>
  <c r="Z27" i="5" s="1"/>
  <c r="Z28" i="5" s="1"/>
  <c r="Z29" i="5" s="1"/>
  <c r="D22" i="5"/>
  <c r="E3" i="3"/>
  <c r="G140" i="7" s="1"/>
  <c r="S24" i="5"/>
  <c r="S25" i="5" s="1"/>
  <c r="S26" i="5" s="1"/>
  <c r="S27" i="5" s="1"/>
  <c r="S28" i="5" s="1"/>
  <c r="S29" i="5" s="1"/>
  <c r="L24" i="5"/>
  <c r="P35" i="5" l="1"/>
  <c r="U34" i="3" s="1"/>
  <c r="E4" i="3"/>
  <c r="G153" i="7" s="1"/>
  <c r="D32" i="5"/>
  <c r="D23" i="5"/>
  <c r="P36" i="5"/>
  <c r="U35" i="3" s="1"/>
  <c r="P27" i="5"/>
  <c r="E5" i="3" l="1"/>
  <c r="M114" i="7" s="1"/>
  <c r="T5" i="3"/>
  <c r="P37" i="5"/>
  <c r="U36" i="3" s="1"/>
  <c r="P28" i="5"/>
  <c r="G115" i="7" l="1"/>
  <c r="G114" i="7"/>
  <c r="P38" i="5"/>
  <c r="U37" i="3" s="1"/>
  <c r="P29" i="5"/>
  <c r="P81" i="4" l="1"/>
  <c r="P16" i="4"/>
  <c r="S5" i="4"/>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3" i="6"/>
  <c r="C2" i="6"/>
  <c r="C1" i="6"/>
  <c r="D2" i="5"/>
  <c r="C3" i="5"/>
  <c r="C4" i="5"/>
  <c r="C5" i="5"/>
  <c r="C6" i="5"/>
  <c r="C7" i="5"/>
  <c r="C8" i="5"/>
  <c r="C9" i="5"/>
  <c r="C10" i="5"/>
  <c r="C11" i="5"/>
  <c r="C12" i="5"/>
  <c r="C13" i="5"/>
  <c r="C14" i="5"/>
  <c r="C15" i="5"/>
  <c r="C16" i="5"/>
  <c r="C17" i="5"/>
  <c r="C18" i="5"/>
  <c r="C19" i="5"/>
  <c r="C20" i="5"/>
  <c r="C2" i="5"/>
  <c r="D12" i="5"/>
  <c r="Y15" i="5"/>
  <c r="Y16" i="5" s="1"/>
  <c r="Y17" i="5" s="1"/>
  <c r="Y18" i="5" s="1"/>
  <c r="Y19" i="5" s="1"/>
  <c r="Y20" i="5" s="1"/>
  <c r="P5" i="5"/>
  <c r="P6" i="5" s="1"/>
  <c r="P7" i="5" s="1"/>
  <c r="P8" i="5" s="1"/>
  <c r="P9" i="5" s="1"/>
  <c r="P10" i="5" s="1"/>
  <c r="P15" i="5"/>
  <c r="P16" i="5" s="1"/>
  <c r="P17" i="5" s="1"/>
  <c r="E11" i="2"/>
  <c r="R17" i="5"/>
  <c r="R18" i="5" s="1"/>
  <c r="R19" i="5" s="1"/>
  <c r="R20" i="5" s="1"/>
  <c r="R15" i="5"/>
  <c r="R16" i="5" s="1"/>
  <c r="K17" i="5"/>
  <c r="K18" i="5" s="1"/>
  <c r="K19" i="5" s="1"/>
  <c r="K20" i="5" s="1"/>
  <c r="K15" i="5"/>
  <c r="K16" i="5" s="1"/>
  <c r="U14" i="5"/>
  <c r="N14" i="5"/>
  <c r="G14" i="5"/>
  <c r="U13" i="5"/>
  <c r="N13" i="5"/>
  <c r="G13" i="5"/>
  <c r="Z5" i="5"/>
  <c r="Z6" i="5" s="1"/>
  <c r="Z7" i="5" s="1"/>
  <c r="Z8" i="5" s="1"/>
  <c r="Z9" i="5" s="1"/>
  <c r="Z10" i="5" s="1"/>
  <c r="U4" i="5"/>
  <c r="U3" i="5"/>
  <c r="S5" i="5"/>
  <c r="S6" i="5" s="1"/>
  <c r="S7" i="5" s="1"/>
  <c r="S8" i="5" s="1"/>
  <c r="S9" i="5" s="1"/>
  <c r="S10" i="5" s="1"/>
  <c r="N4" i="5"/>
  <c r="N3" i="5"/>
  <c r="L5" i="5"/>
  <c r="L6" i="5" s="1"/>
  <c r="L7" i="5" s="1"/>
  <c r="L8" i="5" s="1"/>
  <c r="L9" i="5" s="1"/>
  <c r="L10" i="5" s="1"/>
  <c r="G4" i="5"/>
  <c r="G3" i="5"/>
  <c r="G5" i="4"/>
  <c r="C8" i="3" l="1"/>
  <c r="L8" i="3" s="1"/>
  <c r="Y58" i="3"/>
  <c r="AC58" i="3"/>
  <c r="AF57" i="3"/>
  <c r="Y56" i="3"/>
  <c r="AC56" i="3"/>
  <c r="AF55" i="3"/>
  <c r="Y54" i="3"/>
  <c r="AC54" i="3"/>
  <c r="AF53" i="3"/>
  <c r="Y52" i="3"/>
  <c r="AB51" i="3"/>
  <c r="Y50" i="3"/>
  <c r="AC37" i="3"/>
  <c r="AC36" i="3"/>
  <c r="AC35" i="3"/>
  <c r="AC34" i="3"/>
  <c r="AC33" i="3"/>
  <c r="AC32" i="3"/>
  <c r="AF58" i="3"/>
  <c r="Y57" i="3"/>
  <c r="AC57" i="3"/>
  <c r="AF56" i="3"/>
  <c r="Y55" i="3"/>
  <c r="AC55" i="3"/>
  <c r="AF54" i="3"/>
  <c r="Y53" i="3"/>
  <c r="AC53" i="3"/>
  <c r="AB52" i="3"/>
  <c r="Y51" i="3"/>
  <c r="AF37" i="3"/>
  <c r="AF36" i="3"/>
  <c r="AF35" i="3"/>
  <c r="AF34" i="3"/>
  <c r="AF33" i="3"/>
  <c r="AF32" i="3"/>
  <c r="AB31" i="3"/>
  <c r="AB30" i="3"/>
  <c r="U5" i="4"/>
  <c r="A1" i="6"/>
  <c r="E16" i="2"/>
  <c r="D7" i="2"/>
  <c r="I5" i="4"/>
  <c r="B37" i="3"/>
  <c r="B35" i="3"/>
  <c r="B33" i="3"/>
  <c r="B31" i="3"/>
  <c r="C29" i="3"/>
  <c r="L29" i="3" s="1"/>
  <c r="C36" i="3"/>
  <c r="C34" i="3"/>
  <c r="C32" i="3"/>
  <c r="C30" i="3"/>
  <c r="L30" i="3" s="1"/>
  <c r="E37" i="3"/>
  <c r="N37" i="3" s="1"/>
  <c r="E36" i="3"/>
  <c r="N36" i="3" s="1"/>
  <c r="E35" i="3"/>
  <c r="N35" i="3" s="1"/>
  <c r="E34" i="3"/>
  <c r="N34" i="3" s="1"/>
  <c r="E33" i="3"/>
  <c r="N33" i="3" s="1"/>
  <c r="E32" i="3"/>
  <c r="N32" i="3" s="1"/>
  <c r="G31" i="3"/>
  <c r="E31" i="3"/>
  <c r="G30" i="3"/>
  <c r="E30" i="3"/>
  <c r="G29" i="3"/>
  <c r="P29" i="3" s="1"/>
  <c r="E29" i="3"/>
  <c r="N29" i="3" s="1"/>
  <c r="B58" i="3"/>
  <c r="B56" i="3"/>
  <c r="B54" i="3"/>
  <c r="B52" i="3"/>
  <c r="C50" i="3"/>
  <c r="L50" i="3" s="1"/>
  <c r="C57" i="3"/>
  <c r="C55" i="3"/>
  <c r="C53" i="3"/>
  <c r="C51" i="3"/>
  <c r="L51" i="3" s="1"/>
  <c r="H58" i="3"/>
  <c r="Q58" i="3" s="1"/>
  <c r="E57" i="3"/>
  <c r="N57" i="3" s="1"/>
  <c r="H56" i="3"/>
  <c r="Q56" i="3" s="1"/>
  <c r="E55" i="3"/>
  <c r="N55" i="3" s="1"/>
  <c r="H54" i="3"/>
  <c r="Q54" i="3" s="1"/>
  <c r="E53" i="3"/>
  <c r="N53" i="3" s="1"/>
  <c r="H52" i="3"/>
  <c r="F52" i="3"/>
  <c r="G51" i="3"/>
  <c r="E51" i="3"/>
  <c r="H50" i="3"/>
  <c r="Q50" i="3" s="1"/>
  <c r="F50" i="3"/>
  <c r="O50" i="3" s="1"/>
  <c r="B29" i="3"/>
  <c r="B36" i="3"/>
  <c r="B34" i="3"/>
  <c r="B32" i="3"/>
  <c r="B30" i="3"/>
  <c r="C37" i="3"/>
  <c r="C35" i="3"/>
  <c r="C33" i="3"/>
  <c r="C31" i="3"/>
  <c r="L31" i="3" s="1"/>
  <c r="H31" i="3"/>
  <c r="F31" i="3"/>
  <c r="H30" i="3"/>
  <c r="F30" i="3"/>
  <c r="H29" i="3"/>
  <c r="Q29" i="3" s="1"/>
  <c r="F29" i="3"/>
  <c r="O29" i="3" s="1"/>
  <c r="B50" i="3"/>
  <c r="B57" i="3"/>
  <c r="B55" i="3"/>
  <c r="B53" i="3"/>
  <c r="B51" i="3"/>
  <c r="C58" i="3"/>
  <c r="C56" i="3"/>
  <c r="C54" i="3"/>
  <c r="C52" i="3"/>
  <c r="L52" i="3" s="1"/>
  <c r="E58" i="3"/>
  <c r="N58" i="3" s="1"/>
  <c r="H57" i="3"/>
  <c r="Q57" i="3" s="1"/>
  <c r="E56" i="3"/>
  <c r="N56" i="3" s="1"/>
  <c r="H55" i="3"/>
  <c r="Q55" i="3" s="1"/>
  <c r="E54" i="3"/>
  <c r="N54" i="3" s="1"/>
  <c r="H53" i="3"/>
  <c r="Q53" i="3" s="1"/>
  <c r="G52" i="3"/>
  <c r="E52" i="3"/>
  <c r="H51" i="3"/>
  <c r="F51" i="3"/>
  <c r="G50" i="3"/>
  <c r="P50" i="3" s="1"/>
  <c r="E50" i="3"/>
  <c r="N50" i="3" s="1"/>
  <c r="B12" i="3"/>
  <c r="E16" i="3"/>
  <c r="N16" i="3" s="1"/>
  <c r="I13" i="3"/>
  <c r="E13" i="3"/>
  <c r="N13" i="3" s="1"/>
  <c r="I11" i="3"/>
  <c r="E11" i="3"/>
  <c r="N11" i="3" s="1"/>
  <c r="E10" i="3"/>
  <c r="E8" i="3"/>
  <c r="N8" i="3" s="1"/>
  <c r="B16" i="3"/>
  <c r="B14" i="3"/>
  <c r="B10" i="3"/>
  <c r="I16" i="3"/>
  <c r="I15" i="3"/>
  <c r="E15" i="3"/>
  <c r="N15" i="3" s="1"/>
  <c r="I14" i="3"/>
  <c r="E14" i="3"/>
  <c r="N14" i="3" s="1"/>
  <c r="I12" i="3"/>
  <c r="E12" i="3"/>
  <c r="N12" i="3" s="1"/>
  <c r="I10" i="3"/>
  <c r="G10" i="3"/>
  <c r="I9" i="3"/>
  <c r="G9" i="3"/>
  <c r="E9" i="3"/>
  <c r="I8" i="3"/>
  <c r="G8" i="3"/>
  <c r="P8" i="3" s="1"/>
  <c r="B8" i="3"/>
  <c r="B15" i="3"/>
  <c r="B13" i="3"/>
  <c r="B11" i="3"/>
  <c r="B9" i="3"/>
  <c r="C16" i="3"/>
  <c r="C15" i="3"/>
  <c r="C14" i="3"/>
  <c r="C13" i="3"/>
  <c r="C12" i="3"/>
  <c r="C11" i="3"/>
  <c r="H10" i="3"/>
  <c r="F10" i="3"/>
  <c r="C10" i="3"/>
  <c r="L10" i="3" s="1"/>
  <c r="H9" i="3"/>
  <c r="F9" i="3"/>
  <c r="C9" i="3"/>
  <c r="L9" i="3" s="1"/>
  <c r="H8" i="3"/>
  <c r="Q8" i="3" s="1"/>
  <c r="F8" i="3"/>
  <c r="O8" i="3" s="1"/>
  <c r="P18" i="5"/>
  <c r="D16" i="2"/>
  <c r="J42" i="5" s="1"/>
  <c r="K42" i="5" s="1"/>
  <c r="D50" i="2"/>
  <c r="X42" i="5" s="1"/>
  <c r="E50" i="2" l="1"/>
  <c r="X44" i="5" s="1"/>
  <c r="E41" i="5" s="1"/>
  <c r="X43" i="5"/>
  <c r="J44" i="5"/>
  <c r="J43" i="5"/>
  <c r="K43" i="5" s="1"/>
  <c r="E33" i="2"/>
  <c r="Q35" i="5" s="1"/>
  <c r="D33" i="2"/>
  <c r="J34" i="5"/>
  <c r="K34" i="5" s="1"/>
  <c r="J25" i="5"/>
  <c r="K25" i="5" s="1"/>
  <c r="X33" i="5"/>
  <c r="V53" i="3" s="1"/>
  <c r="AD53" i="3" s="1"/>
  <c r="X24" i="5"/>
  <c r="J33" i="5"/>
  <c r="K33" i="5" s="1"/>
  <c r="J24" i="5"/>
  <c r="K24" i="5" s="1"/>
  <c r="X35" i="5"/>
  <c r="J35" i="5"/>
  <c r="J26" i="5"/>
  <c r="P49" i="4"/>
  <c r="P19" i="5"/>
  <c r="X26" i="5" l="1"/>
  <c r="X45" i="5"/>
  <c r="Q34" i="5"/>
  <c r="R34" i="5" s="1"/>
  <c r="Q26" i="5"/>
  <c r="R26" i="5" s="1"/>
  <c r="E22" i="5" s="1"/>
  <c r="Q25" i="5"/>
  <c r="R25" i="5" s="1"/>
  <c r="Q44" i="5"/>
  <c r="Q43" i="5"/>
  <c r="R43" i="5" s="1"/>
  <c r="R44" i="5" s="1"/>
  <c r="K44" i="5"/>
  <c r="J45" i="5"/>
  <c r="E39" i="5"/>
  <c r="Q33" i="5"/>
  <c r="R33" i="5" s="1"/>
  <c r="Q42" i="5"/>
  <c r="R42" i="5" s="1"/>
  <c r="X46" i="5"/>
  <c r="Q24" i="5"/>
  <c r="R24" i="5" s="1"/>
  <c r="K26" i="5"/>
  <c r="K27" i="5" s="1"/>
  <c r="K28" i="5" s="1"/>
  <c r="K29" i="5" s="1"/>
  <c r="K35" i="5"/>
  <c r="V55" i="3"/>
  <c r="AD55" i="3" s="1"/>
  <c r="R35" i="5"/>
  <c r="V34" i="3"/>
  <c r="AD34" i="3" s="1"/>
  <c r="K36" i="5"/>
  <c r="X36" i="5"/>
  <c r="V56" i="3" s="1"/>
  <c r="AD56" i="3" s="1"/>
  <c r="Y35" i="5"/>
  <c r="W55" i="3" s="1"/>
  <c r="AE55" i="3" s="1"/>
  <c r="W11" i="3"/>
  <c r="AE11" i="3" s="1"/>
  <c r="W12" i="3"/>
  <c r="AE12" i="3" s="1"/>
  <c r="X34" i="5"/>
  <c r="Y33" i="5"/>
  <c r="W53" i="3" s="1"/>
  <c r="AE53" i="3" s="1"/>
  <c r="J27" i="5"/>
  <c r="V13" i="3"/>
  <c r="AD13" i="3" s="1"/>
  <c r="X27" i="5"/>
  <c r="V11" i="3"/>
  <c r="AD11" i="3" s="1"/>
  <c r="X25" i="5"/>
  <c r="J36" i="5"/>
  <c r="J37" i="5" s="1"/>
  <c r="J38" i="5" s="1"/>
  <c r="Q36" i="5"/>
  <c r="V35" i="3" s="1"/>
  <c r="AD35" i="3" s="1"/>
  <c r="L34" i="5"/>
  <c r="L35" i="5" s="1"/>
  <c r="L36" i="5" s="1"/>
  <c r="L37" i="5" s="1"/>
  <c r="L38" i="5" s="1"/>
  <c r="V33" i="3"/>
  <c r="AD33" i="3" s="1"/>
  <c r="P20" i="5"/>
  <c r="Q27" i="5" l="1"/>
  <c r="V32" i="3"/>
  <c r="AD32" i="3" s="1"/>
  <c r="Q45" i="5"/>
  <c r="Q46" i="5" s="1"/>
  <c r="Q47" i="5" s="1"/>
  <c r="R45" i="5"/>
  <c r="R46" i="5" s="1"/>
  <c r="R47" i="5" s="1"/>
  <c r="X47" i="5"/>
  <c r="K45" i="5"/>
  <c r="K46" i="5" s="1"/>
  <c r="K47" i="5" s="1"/>
  <c r="J46" i="5"/>
  <c r="J47" i="5" s="1"/>
  <c r="R27" i="5"/>
  <c r="R28" i="5" s="1"/>
  <c r="R29" i="5" s="1"/>
  <c r="E30" i="5"/>
  <c r="S6" i="3" s="1"/>
  <c r="E32" i="5"/>
  <c r="S47" i="3" s="1"/>
  <c r="W13" i="3"/>
  <c r="AE13" i="3" s="1"/>
  <c r="E31" i="5"/>
  <c r="S26" i="3" s="1"/>
  <c r="Y34" i="5"/>
  <c r="W54" i="3" s="1"/>
  <c r="AE54" i="3" s="1"/>
  <c r="V54" i="3"/>
  <c r="AD54" i="3" s="1"/>
  <c r="W33" i="3"/>
  <c r="AE33" i="3" s="1"/>
  <c r="W32" i="3"/>
  <c r="AE32" i="3" s="1"/>
  <c r="R36" i="5"/>
  <c r="W34" i="3"/>
  <c r="AE34" i="3" s="1"/>
  <c r="V12" i="3"/>
  <c r="AD12" i="3" s="1"/>
  <c r="X37" i="5"/>
  <c r="V57" i="3" s="1"/>
  <c r="AD57" i="3" s="1"/>
  <c r="Y36" i="5"/>
  <c r="W56" i="3" s="1"/>
  <c r="AE56" i="3" s="1"/>
  <c r="K37" i="5"/>
  <c r="K38" i="5" s="1"/>
  <c r="W14" i="3"/>
  <c r="AE14" i="3" s="1"/>
  <c r="H34" i="3"/>
  <c r="Q34" i="3" s="1"/>
  <c r="H32" i="3"/>
  <c r="Q32" i="3" s="1"/>
  <c r="H33" i="3"/>
  <c r="Q33" i="3" s="1"/>
  <c r="Q37" i="5"/>
  <c r="V36" i="3" s="1"/>
  <c r="AD36" i="3" s="1"/>
  <c r="L25" i="5"/>
  <c r="L26" i="5" s="1"/>
  <c r="E21" i="5" s="1"/>
  <c r="X11" i="3"/>
  <c r="AF11" i="3" s="1"/>
  <c r="H11" i="3"/>
  <c r="Q11" i="3" s="1"/>
  <c r="X28" i="5"/>
  <c r="Q28" i="5"/>
  <c r="H35" i="3"/>
  <c r="Q35" i="3" s="1"/>
  <c r="X13" i="3"/>
  <c r="AF13" i="3" s="1"/>
  <c r="J28" i="5"/>
  <c r="V14" i="3"/>
  <c r="AD14" i="3" s="1"/>
  <c r="J17" i="5"/>
  <c r="L17" i="5" s="1"/>
  <c r="J7" i="5"/>
  <c r="F13" i="3" s="1"/>
  <c r="O13" i="3" s="1"/>
  <c r="E40" i="5" l="1"/>
  <c r="B26" i="3" s="1"/>
  <c r="L27" i="5"/>
  <c r="B6" i="3"/>
  <c r="H13" i="3"/>
  <c r="Q13" i="3" s="1"/>
  <c r="R37" i="5"/>
  <c r="W35" i="3"/>
  <c r="AE35" i="3" s="1"/>
  <c r="W16" i="3"/>
  <c r="AE16" i="3" s="1"/>
  <c r="W15" i="3"/>
  <c r="AE15" i="3" s="1"/>
  <c r="X38" i="5"/>
  <c r="Y37" i="5"/>
  <c r="W57" i="3" s="1"/>
  <c r="AE57" i="3" s="1"/>
  <c r="X29" i="5"/>
  <c r="J29" i="5"/>
  <c r="V16" i="3" s="1"/>
  <c r="AD16" i="3" s="1"/>
  <c r="V15" i="3"/>
  <c r="AD15" i="3" s="1"/>
  <c r="L28" i="5"/>
  <c r="L29" i="5" s="1"/>
  <c r="X14" i="3"/>
  <c r="AF14" i="3" s="1"/>
  <c r="H14" i="3"/>
  <c r="Q14" i="3" s="1"/>
  <c r="Q29" i="5"/>
  <c r="X12" i="3"/>
  <c r="AF12" i="3" s="1"/>
  <c r="H12" i="3"/>
  <c r="Q12" i="3" s="1"/>
  <c r="Q38" i="5"/>
  <c r="V37" i="3" s="1"/>
  <c r="AD37" i="3" s="1"/>
  <c r="J18" i="5"/>
  <c r="K7" i="5"/>
  <c r="G13" i="3" s="1"/>
  <c r="P13" i="3" s="1"/>
  <c r="J8" i="5"/>
  <c r="F14" i="3" s="1"/>
  <c r="O14" i="3" s="1"/>
  <c r="Y38" i="5" l="1"/>
  <c r="W58" i="3" s="1"/>
  <c r="AE58" i="3" s="1"/>
  <c r="V58" i="3"/>
  <c r="AD58" i="3" s="1"/>
  <c r="R38" i="5"/>
  <c r="W37" i="3" s="1"/>
  <c r="AE37" i="3" s="1"/>
  <c r="W36" i="3"/>
  <c r="AE36" i="3" s="1"/>
  <c r="H36" i="3"/>
  <c r="Q36" i="3" s="1"/>
  <c r="H37" i="3"/>
  <c r="Q37" i="3" s="1"/>
  <c r="X15" i="3"/>
  <c r="AF15" i="3" s="1"/>
  <c r="H15" i="3"/>
  <c r="Q15" i="3" s="1"/>
  <c r="K8" i="5"/>
  <c r="G14" i="3" s="1"/>
  <c r="P14" i="3" s="1"/>
  <c r="J9" i="5"/>
  <c r="F15" i="3" s="1"/>
  <c r="O15" i="3" s="1"/>
  <c r="J19" i="5"/>
  <c r="X16" i="3" l="1"/>
  <c r="AF16" i="3" s="1"/>
  <c r="H16" i="3"/>
  <c r="Q16" i="3" s="1"/>
  <c r="J10" i="5"/>
  <c r="K9" i="5"/>
  <c r="G15" i="3" s="1"/>
  <c r="P15" i="3" s="1"/>
  <c r="J20" i="5"/>
  <c r="K10" i="5" l="1"/>
  <c r="G16" i="3" s="1"/>
  <c r="P16" i="3" s="1"/>
  <c r="F16" i="3"/>
  <c r="O16" i="3" s="1"/>
  <c r="X17" i="5" l="1"/>
  <c r="X7" i="5"/>
  <c r="Y7" i="5" s="1"/>
  <c r="Q15" i="5"/>
  <c r="S15" i="5" s="1"/>
  <c r="Q5" i="5"/>
  <c r="R5" i="5" s="1"/>
  <c r="J15" i="5"/>
  <c r="J5" i="5"/>
  <c r="F11" i="3" s="1"/>
  <c r="O11" i="3" s="1"/>
  <c r="Q17" i="5"/>
  <c r="S17" i="5" s="1"/>
  <c r="Q7" i="5"/>
  <c r="R7" i="5" s="1"/>
  <c r="X15" i="5"/>
  <c r="X5" i="5"/>
  <c r="Y5" i="5" s="1"/>
  <c r="F53" i="3" l="1"/>
  <c r="O53" i="3" s="1"/>
  <c r="F34" i="3"/>
  <c r="O34" i="3" s="1"/>
  <c r="G34" i="3"/>
  <c r="P34" i="3" s="1"/>
  <c r="F32" i="3"/>
  <c r="O32" i="3" s="1"/>
  <c r="F55" i="3"/>
  <c r="O55" i="3" s="1"/>
  <c r="J16" i="5"/>
  <c r="L15" i="5"/>
  <c r="L16" i="5" s="1"/>
  <c r="L18" i="5" s="1"/>
  <c r="L19" i="5" s="1"/>
  <c r="L20" i="5" s="1"/>
  <c r="X6" i="5"/>
  <c r="Y6" i="5" s="1"/>
  <c r="G53" i="3"/>
  <c r="P53" i="3" s="1"/>
  <c r="Q8" i="5"/>
  <c r="R8" i="5" s="1"/>
  <c r="Q16" i="5"/>
  <c r="S16" i="5" s="1"/>
  <c r="G55" i="3"/>
  <c r="P55" i="3" s="1"/>
  <c r="X8" i="5"/>
  <c r="Y8" i="5" s="1"/>
  <c r="X16" i="5"/>
  <c r="Q18" i="5"/>
  <c r="S18" i="5" s="1"/>
  <c r="J6" i="5"/>
  <c r="K5" i="5"/>
  <c r="G11" i="3" s="1"/>
  <c r="P11" i="3" s="1"/>
  <c r="G32" i="3"/>
  <c r="P32" i="3" s="1"/>
  <c r="Q6" i="5"/>
  <c r="R6" i="5" s="1"/>
  <c r="X18" i="5"/>
  <c r="F56" i="3" l="1"/>
  <c r="O56" i="3" s="1"/>
  <c r="F35" i="3"/>
  <c r="O35" i="3" s="1"/>
  <c r="K6" i="5"/>
  <c r="G12" i="3" s="1"/>
  <c r="P12" i="3" s="1"/>
  <c r="F12" i="3"/>
  <c r="O12" i="3" s="1"/>
  <c r="G33" i="3"/>
  <c r="P33" i="3" s="1"/>
  <c r="F33" i="3"/>
  <c r="O33" i="3" s="1"/>
  <c r="G54" i="3"/>
  <c r="P54" i="3" s="1"/>
  <c r="F54" i="3"/>
  <c r="O54" i="3" s="1"/>
  <c r="G56" i="3"/>
  <c r="P56" i="3" s="1"/>
  <c r="X9" i="5"/>
  <c r="Y9" i="5" s="1"/>
  <c r="G35" i="3"/>
  <c r="P35" i="3" s="1"/>
  <c r="Q9" i="5"/>
  <c r="R9" i="5" s="1"/>
  <c r="X19" i="5"/>
  <c r="Q19" i="5"/>
  <c r="S19" i="5" s="1"/>
  <c r="F36" i="3" l="1"/>
  <c r="O36" i="3" s="1"/>
  <c r="F57" i="3"/>
  <c r="O57" i="3" s="1"/>
  <c r="G36" i="3"/>
  <c r="P36" i="3" s="1"/>
  <c r="Q10" i="5"/>
  <c r="R10" i="5" s="1"/>
  <c r="G57" i="3"/>
  <c r="P57" i="3" s="1"/>
  <c r="X10" i="5"/>
  <c r="Y10" i="5" s="1"/>
  <c r="Q20" i="5"/>
  <c r="S20" i="5" s="1"/>
  <c r="X20" i="5"/>
  <c r="D16" i="4"/>
  <c r="G58" i="3" l="1"/>
  <c r="P58" i="3" s="1"/>
  <c r="F58" i="3"/>
  <c r="O58" i="3" s="1"/>
  <c r="G37" i="3"/>
  <c r="P37" i="3" s="1"/>
  <c r="F37" i="3"/>
  <c r="O37" i="3" s="1"/>
  <c r="E23" i="5" l="1"/>
  <c r="D81" i="4"/>
  <c r="B47" i="3"/>
  <c r="D49" i="4"/>
</calcChain>
</file>

<file path=xl/sharedStrings.xml><?xml version="1.0" encoding="utf-8"?>
<sst xmlns="http://schemas.openxmlformats.org/spreadsheetml/2006/main" count="340" uniqueCount="145">
  <si>
    <t>Vervolguitkering</t>
  </si>
  <si>
    <t>Loongerelateerde uitkering</t>
  </si>
  <si>
    <t>Loonaanvullingsuitkering</t>
  </si>
  <si>
    <t>Parameters</t>
  </si>
  <si>
    <t>Minimumloon</t>
  </si>
  <si>
    <t>Maximumloon</t>
  </si>
  <si>
    <t>Scenario 1</t>
  </si>
  <si>
    <t>Scenario 2</t>
  </si>
  <si>
    <t>Scenario 3</t>
  </si>
  <si>
    <t>AO%</t>
  </si>
  <si>
    <t>Nieuw loon</t>
  </si>
  <si>
    <t>F-factor</t>
  </si>
  <si>
    <t>Overheid</t>
  </si>
  <si>
    <t>Jaarsalaris medewerker</t>
  </si>
  <si>
    <t>50% ao en geen nieuw loon</t>
  </si>
  <si>
    <t>50% ao en nieuw loon 50% RVC</t>
  </si>
  <si>
    <t>WGA uitkering</t>
  </si>
  <si>
    <t>100% ao niet duurzaam</t>
  </si>
  <si>
    <t>Grafiek 1</t>
  </si>
  <si>
    <t>1e ziektejaar</t>
  </si>
  <si>
    <t>2e ziektejaar</t>
  </si>
  <si>
    <t>Vanaf 3e jaar (max. 24 maanden)</t>
  </si>
  <si>
    <t>Tot AOW leeftijd</t>
  </si>
  <si>
    <t>Loondoorbetaling bij ziekte</t>
  </si>
  <si>
    <t>Grafiek 2</t>
  </si>
  <si>
    <t>Aanvulling vanuit Pensioenfonds Z&amp;W</t>
  </si>
  <si>
    <t>Verzekering via Loyalis</t>
  </si>
  <si>
    <t xml:space="preserve">Je huidige jaarloon: </t>
  </si>
  <si>
    <t>Hieronder vindt je een aantal voorbeelden van wat er met je inkomen gebeurt als je arbeidsongeschikt wordt.</t>
  </si>
  <si>
    <t>Voorbeeld 1</t>
  </si>
  <si>
    <t>Voorbeeld 2</t>
  </si>
  <si>
    <t>Voorbeeld 3</t>
  </si>
  <si>
    <t>Grafiek 3</t>
  </si>
  <si>
    <t>De nieuwe verzekering via Loyalis zorgt ervoor dat als je een WIA uitkering krijgt je inkomen in ieder geval wordt aangevuld tot 70% van je oude inkomen.</t>
  </si>
  <si>
    <t>Stel, op enig moment wordt je voor 50% arbeidsongeschikt bevonden en weet geen nieuwe baan te vinden.</t>
  </si>
  <si>
    <t>Stel, op enig moment wordt je voor 50% arbeidsongeschikt bevonden en je vindt een nieuwe baan. Hiermee weet je nog 50% te verdienen van je restverdiencapaciteit (het bedrag dat UWV vindt dat je nog zou kunnen verdienen).</t>
  </si>
  <si>
    <t xml:space="preserve">Stel, je wordt volledig arbeidsongeschikt bevonden (80%-100%). </t>
  </si>
  <si>
    <t>tijdlijn</t>
  </si>
  <si>
    <t>1. Loondoorbetaling bij ziekte</t>
  </si>
  <si>
    <t>2. Nieuw loon</t>
  </si>
  <si>
    <t>3. WGA uitkering</t>
  </si>
  <si>
    <t>4. Aanvulling vanuit PFZW</t>
  </si>
  <si>
    <t xml:space="preserve">5. Verzekering via Loyalis </t>
  </si>
  <si>
    <t>jaar 1:
1e ziektejaar</t>
  </si>
  <si>
    <t>jaar 2:
2e ziektejaar</t>
  </si>
  <si>
    <t>jaar 3:
Vanaf 3e jaar (max. 24 maanden)</t>
  </si>
  <si>
    <t>jaar 4:
Vanaf 3e jaar (max. 24 maanden)</t>
  </si>
  <si>
    <t>jaar 5:
Tot AOW leeftijd</t>
  </si>
  <si>
    <t>jaar 6:</t>
  </si>
  <si>
    <t>jaar 7 en verder</t>
  </si>
  <si>
    <t>Demo</t>
  </si>
  <si>
    <t>4. WGA Hiaatverzekering</t>
  </si>
  <si>
    <t xml:space="preserve">5. WIA Excedent </t>
  </si>
  <si>
    <t>Meander</t>
  </si>
  <si>
    <t>nr</t>
  </si>
  <si>
    <t>klantnaam</t>
  </si>
  <si>
    <t>premie</t>
  </si>
  <si>
    <t>x-as</t>
  </si>
  <si>
    <t>rijnr</t>
  </si>
  <si>
    <t>WGA Hiaat Uitgebreid</t>
  </si>
  <si>
    <t>verzekeraar</t>
  </si>
  <si>
    <t>deelname</t>
  </si>
  <si>
    <t>eindleeftijd</t>
  </si>
  <si>
    <t>indexering</t>
  </si>
  <si>
    <t>verzekerd loon</t>
  </si>
  <si>
    <t>verdeling kosten WN/WG</t>
  </si>
  <si>
    <t>Regeling per 1 jan 2024</t>
  </si>
  <si>
    <t>Nationale Nederlanden</t>
  </si>
  <si>
    <t>Verplicht</t>
  </si>
  <si>
    <t>AOW gerechtigde leeftijd maar max. 70 jaar</t>
  </si>
  <si>
    <t>WIA index</t>
  </si>
  <si>
    <t xml:space="preserve">AOW gerechtigde leeftijd </t>
  </si>
  <si>
    <t>Kosten WN</t>
  </si>
  <si>
    <t>WIA Excedent</t>
  </si>
  <si>
    <t>pensioengevend jaarsalaris</t>
  </si>
  <si>
    <t>12x maandsalaris + 8% vakantietoeslag + halve 13e maand</t>
  </si>
  <si>
    <t>verzekerd bedrag</t>
  </si>
  <si>
    <t>70% van het pensioengevend jaarsalaris boven het max. SV jaarloon</t>
  </si>
  <si>
    <t>VLC &amp; Partners</t>
  </si>
  <si>
    <t>Westenburg</t>
  </si>
  <si>
    <t>premie1</t>
  </si>
  <si>
    <t>premie2</t>
  </si>
  <si>
    <t>Max. SV jaarloon (voor 2024 € 71.628)</t>
  </si>
  <si>
    <t>Vanaf 3e jaar (max. 24 mnd)</t>
  </si>
  <si>
    <t xml:space="preserve">WIA Excedent </t>
  </si>
  <si>
    <t xml:space="preserve">Stel, je wordt volledig maar niet duurzaam arbeidsongeschikt bevonden (80%-100%). </t>
  </si>
  <si>
    <t>Laatst bijgewerkt op</t>
  </si>
  <si>
    <t>geboortedatum</t>
  </si>
  <si>
    <t>aow datum</t>
  </si>
  <si>
    <t>aow leeftijd</t>
  </si>
  <si>
    <t>&lt;- op basis van onderstaande tabel</t>
  </si>
  <si>
    <t>Bron: https://www.svb.nl/int/nl/aow/wat_is_de_aow/wanneer_aow/</t>
  </si>
  <si>
    <t>Verhoging in</t>
  </si>
  <si>
    <t>geboren vanaf:</t>
  </si>
  <si>
    <t>AOW-leeftijd</t>
  </si>
  <si>
    <t>check</t>
  </si>
  <si>
    <t>Betreft personen geboren:</t>
  </si>
  <si>
    <t>verhoging</t>
  </si>
  <si>
    <t>op 65 jaar en 1 maand</t>
  </si>
  <si>
    <t>na 31 december 1947 en voor 1 december 1948</t>
  </si>
  <si>
    <t>ja</t>
  </si>
  <si>
    <t>op 65 jaar en 2 maanden</t>
  </si>
  <si>
    <t>na 30 november 1948 en voor 1 november 1949</t>
  </si>
  <si>
    <t>op 65 jaar en 3 maanden</t>
  </si>
  <si>
    <t>na 31 oktober 1949 en voor 1 oktober 1950</t>
  </si>
  <si>
    <t>op 65 jaar en 6 maanden</t>
  </si>
  <si>
    <t>na 30 september 1950 en voor 1 juli 1951</t>
  </si>
  <si>
    <t>op 65 jaar en 9 maanden</t>
  </si>
  <si>
    <t xml:space="preserve">na 30 juni 1951 en voor 1 april 1952 </t>
  </si>
  <si>
    <t>op 66 jaar</t>
  </si>
  <si>
    <t>na 31 maart 1952 en voor 1 januari 1953</t>
  </si>
  <si>
    <t>op 66 jaar en 4 maanden</t>
  </si>
  <si>
    <t>op 66 jaar en 7 maanden</t>
  </si>
  <si>
    <t>op 66 jaar en 10 maanden</t>
  </si>
  <si>
    <t>op 67 jaar</t>
  </si>
  <si>
    <t>op 67 jaar en 3 maanden</t>
  </si>
  <si>
    <t>Stel, op enig moment word je voor 50% arbeidsongeschikt bevonden en je vindt een nieuwe baan. Hiermee weet je nog 50% te verdienen van je restverdiencapaciteit (het bedrag dat UWV vindt dat je nog zou kunnen verdienen).</t>
  </si>
  <si>
    <t>Stel, op enig moment word je voor 50% arbeidsongeschikt bevonden en weet geen nieuwe baan te vinden.</t>
  </si>
  <si>
    <t>WGA uitkering (WIA index)</t>
  </si>
  <si>
    <t>WGA Hiaat Uitgebreid (WIA index)</t>
  </si>
  <si>
    <t>WIA Excedent (2% index)</t>
  </si>
  <si>
    <t>Je huidige jaarloon</t>
  </si>
  <si>
    <t>Renewi</t>
  </si>
  <si>
    <t>Vrijwillig</t>
  </si>
  <si>
    <t>100% Werkgever</t>
  </si>
  <si>
    <t>100% Werknemer</t>
  </si>
  <si>
    <t>WIA Bodem</t>
  </si>
  <si>
    <t>Daarna</t>
  </si>
  <si>
    <t>Vanaf 3e jaar (max. 10 jaar)</t>
  </si>
  <si>
    <t>Grafiek 4</t>
  </si>
  <si>
    <t>Scenario 4</t>
  </si>
  <si>
    <t>Kosten verzekering</t>
  </si>
  <si>
    <t>10 jaar</t>
  </si>
  <si>
    <t>dekking</t>
  </si>
  <si>
    <t>Je jaarloon tot het max. SV jaarloon</t>
  </si>
  <si>
    <t>Stel, je wordt voor minder dan 35% (in dit voorbeeld 25%) arbeidsongeschikt bevonden en hebt daardoor geen recht op een WIA uitkering. Gelukkig vind je nog een baan waarmee je nog 50% weet te verdienen van je restverdiencapaciteit.</t>
  </si>
  <si>
    <t>Vult de WGA uitkering aan</t>
  </si>
  <si>
    <t xml:space="preserve">tot minimaal 70% van het </t>
  </si>
  <si>
    <t xml:space="preserve">Je jaarloon tot het max. </t>
  </si>
  <si>
    <t xml:space="preserve">SV jaarloon </t>
  </si>
  <si>
    <t>Uitkeringsduur</t>
  </si>
  <si>
    <t>Geeft bij arbeidsongeschiktheid tussen 15%</t>
  </si>
  <si>
    <t xml:space="preserve">en 35% recht op een aanvulling op je inkomen. </t>
  </si>
  <si>
    <t>(verzekerd loon maal arbeidsongeschiktheids%).</t>
  </si>
  <si>
    <t>CAO-aanvulling*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</si>
</sst>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quot;€&quot;\ * #,##0_ ;_ &quot;€&quot;\ * \-#,##0_ ;_ &quot;€&quot;\ * &quot;-&quot;??_ ;_ @_ "/>
    <numFmt numFmtId="165" formatCode="&quot;€&quot;\ #,##0"/>
    <numFmt numFmtId="166" formatCode="0.000%"/>
  </numFmts>
  <fonts count="22" x14ac:knownFonts="1">
    <font>
      <sz val="10"/>
      <color theme="1"/>
      <name val="Arial"/>
      <family val="2"/>
    </font>
    <font>
      <sz val="10"/>
      <color theme="1"/>
      <name val="Arial"/>
      <family val="2"/>
    </font>
    <font>
      <sz val="10"/>
      <color theme="0"/>
      <name val="Arial"/>
      <family val="2"/>
    </font>
    <font>
      <sz val="12"/>
      <color rgb="FF666666"/>
      <name val="Open Sans"/>
      <family val="2"/>
    </font>
    <font>
      <sz val="12"/>
      <color theme="0"/>
      <name val="Open Sans"/>
      <family val="2"/>
    </font>
    <font>
      <b/>
      <sz val="10"/>
      <color rgb="FF214159"/>
      <name val="Segoe UI"/>
      <family val="2"/>
    </font>
    <font>
      <sz val="20"/>
      <color theme="1"/>
      <name val="Muli Light"/>
    </font>
    <font>
      <sz val="10"/>
      <color theme="1"/>
      <name val="Muli Light"/>
    </font>
    <font>
      <b/>
      <sz val="10"/>
      <color rgb="FF214159"/>
      <name val="Muli Light"/>
    </font>
    <font>
      <b/>
      <sz val="11"/>
      <color rgb="FF008295"/>
      <name val="Muli Light"/>
    </font>
    <font>
      <sz val="10"/>
      <color rgb="FF008295"/>
      <name val="Muli Light"/>
    </font>
    <font>
      <b/>
      <sz val="12"/>
      <color rgb="FF214159"/>
      <name val="Muli Light"/>
    </font>
    <font>
      <b/>
      <sz val="11"/>
      <color theme="1"/>
      <name val="Muli Light"/>
    </font>
    <font>
      <b/>
      <sz val="10"/>
      <color theme="1"/>
      <name val="Muli Light"/>
    </font>
    <font>
      <sz val="16"/>
      <color theme="1"/>
      <name val="Calibri"/>
      <family val="2"/>
      <scheme val="minor"/>
    </font>
    <font>
      <sz val="10"/>
      <color theme="0"/>
      <name val="Verdana"/>
      <family val="2"/>
    </font>
    <font>
      <sz val="10"/>
      <color theme="1"/>
      <name val="Verdana"/>
      <family val="2"/>
    </font>
    <font>
      <sz val="10"/>
      <color theme="0"/>
      <name val="Muli Light"/>
    </font>
    <font>
      <sz val="18"/>
      <color theme="0"/>
      <name val="Muli Light"/>
    </font>
    <font>
      <sz val="18"/>
      <color rgb="FF00519D"/>
      <name val="Muli Light"/>
    </font>
    <font>
      <b/>
      <sz val="14"/>
      <color theme="1"/>
      <name val="Muli Light"/>
    </font>
    <font>
      <sz val="14"/>
      <color theme="1"/>
      <name val="Muli Light"/>
    </font>
  </fonts>
  <fills count="17">
    <fill>
      <patternFill patternType="none"/>
    </fill>
    <fill>
      <patternFill patternType="gray125"/>
    </fill>
    <fill>
      <patternFill patternType="solid">
        <fgColor theme="1"/>
        <bgColor indexed="64"/>
      </patternFill>
    </fill>
    <fill>
      <patternFill patternType="solid">
        <fgColor rgb="FF008295"/>
        <bgColor indexed="64"/>
      </patternFill>
    </fill>
    <fill>
      <patternFill patternType="solid">
        <fgColor rgb="FFBCCEDB"/>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B75F1B"/>
        <bgColor indexed="64"/>
      </patternFill>
    </fill>
    <fill>
      <patternFill patternType="solid">
        <fgColor theme="0" tint="-0.14999847407452621"/>
        <bgColor indexed="64"/>
      </patternFill>
    </fill>
    <fill>
      <patternFill patternType="solid">
        <fgColor rgb="FF40C0F0"/>
        <bgColor indexed="64"/>
      </patternFill>
    </fill>
    <fill>
      <patternFill patternType="solid">
        <fgColor theme="0"/>
        <bgColor indexed="64"/>
      </patternFill>
    </fill>
    <fill>
      <patternFill patternType="solid">
        <fgColor rgb="FFF2F2F2"/>
        <bgColor indexed="64"/>
      </patternFill>
    </fill>
    <fill>
      <patternFill patternType="solid">
        <fgColor rgb="FFE59200"/>
        <bgColor indexed="64"/>
      </patternFill>
    </fill>
    <fill>
      <patternFill patternType="solid">
        <fgColor rgb="FF003865"/>
        <bgColor indexed="64"/>
      </patternFill>
    </fill>
    <fill>
      <patternFill patternType="solid">
        <fgColor rgb="FF92D050"/>
        <bgColor indexed="64"/>
      </patternFill>
    </fill>
    <fill>
      <patternFill patternType="solid">
        <fgColor rgb="FFF6F6F6"/>
        <bgColor indexed="64"/>
      </patternFill>
    </fill>
    <fill>
      <patternFill patternType="solid">
        <fgColor rgb="FF00519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rgb="FFF2F2F2"/>
      </top>
      <bottom style="thin">
        <color rgb="FFF2F2F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rgb="FF00519D"/>
      </bottom>
      <diagonal/>
    </border>
    <border>
      <left/>
      <right style="medium">
        <color rgb="FF00519D"/>
      </right>
      <top/>
      <bottom/>
      <diagonal/>
    </border>
    <border>
      <left/>
      <right style="medium">
        <color rgb="FF00519D"/>
      </right>
      <top style="medium">
        <color rgb="FF00519D"/>
      </top>
      <bottom/>
      <diagonal/>
    </border>
    <border>
      <left style="medium">
        <color rgb="FF00519D"/>
      </left>
      <right/>
      <top/>
      <bottom/>
      <diagonal/>
    </border>
    <border>
      <left style="medium">
        <color rgb="FF00519D"/>
      </left>
      <right/>
      <top style="thin">
        <color rgb="FFF2F2F2"/>
      </top>
      <bottom style="thin">
        <color rgb="FFF2F2F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5">
    <xf numFmtId="0" fontId="0" fillId="0" borderId="0" xfId="0"/>
    <xf numFmtId="0" fontId="3" fillId="0" borderId="0" xfId="0" applyFont="1"/>
    <xf numFmtId="44" fontId="3" fillId="0" borderId="0" xfId="1" applyFont="1"/>
    <xf numFmtId="9" fontId="0" fillId="0" borderId="0" xfId="0" applyNumberFormat="1"/>
    <xf numFmtId="9" fontId="3" fillId="0" borderId="0" xfId="2" applyFont="1"/>
    <xf numFmtId="44" fontId="0" fillId="0" borderId="0" xfId="0" applyNumberFormat="1"/>
    <xf numFmtId="0" fontId="4" fillId="2" borderId="0" xfId="0" applyFont="1" applyFill="1"/>
    <xf numFmtId="44" fontId="4" fillId="2" borderId="0" xfId="1" applyFont="1" applyFill="1"/>
    <xf numFmtId="0" fontId="3" fillId="0" borderId="0" xfId="0" applyFont="1" applyAlignment="1">
      <alignment horizontal="right" wrapText="1"/>
    </xf>
    <xf numFmtId="0" fontId="2" fillId="2" borderId="0" xfId="0" applyFont="1" applyFill="1"/>
    <xf numFmtId="164" fontId="0" fillId="0" borderId="0" xfId="0" applyNumberFormat="1"/>
    <xf numFmtId="9" fontId="0" fillId="0" borderId="0" xfId="2" applyFont="1"/>
    <xf numFmtId="0" fontId="5" fillId="0" borderId="0" xfId="0" applyFont="1" applyAlignment="1" applyProtection="1">
      <alignment horizontal="left" vertical="top" wrapText="1"/>
      <protection hidden="1"/>
    </xf>
    <xf numFmtId="0" fontId="0" fillId="0" borderId="0" xfId="0" applyAlignment="1"/>
    <xf numFmtId="0" fontId="0" fillId="0" borderId="1" xfId="0" applyBorder="1"/>
    <xf numFmtId="0" fontId="0" fillId="0" borderId="1" xfId="0" applyBorder="1" applyAlignment="1">
      <alignment wrapText="1"/>
    </xf>
    <xf numFmtId="164" fontId="0" fillId="0" borderId="1" xfId="0" applyNumberFormat="1" applyBorder="1"/>
    <xf numFmtId="0" fontId="5" fillId="0" borderId="0" xfId="0" applyFont="1" applyAlignment="1" applyProtection="1">
      <alignment horizontal="left" wrapText="1"/>
      <protection hidden="1"/>
    </xf>
    <xf numFmtId="0" fontId="5" fillId="0" borderId="0" xfId="0" applyFont="1" applyAlignment="1" applyProtection="1">
      <alignment horizontal="left" vertical="top" wrapText="1"/>
      <protection hidden="1"/>
    </xf>
    <xf numFmtId="164" fontId="0" fillId="0" borderId="0" xfId="1" applyNumberFormat="1" applyFont="1"/>
    <xf numFmtId="164" fontId="0" fillId="0" borderId="1" xfId="1" applyNumberFormat="1" applyFont="1" applyBorder="1"/>
    <xf numFmtId="0" fontId="5" fillId="0" borderId="0" xfId="0" applyFont="1" applyAlignment="1" applyProtection="1">
      <alignment horizontal="left" vertical="top"/>
      <protection hidden="1"/>
    </xf>
    <xf numFmtId="0" fontId="5" fillId="0" borderId="0" xfId="0" applyFont="1" applyAlignment="1" applyProtection="1">
      <alignment horizontal="left" vertical="top" wrapText="1"/>
      <protection hidden="1"/>
    </xf>
    <xf numFmtId="0" fontId="7" fillId="0" borderId="0" xfId="0" applyFont="1" applyProtection="1">
      <protection hidden="1"/>
    </xf>
    <xf numFmtId="0" fontId="8" fillId="0" borderId="0" xfId="0" applyFont="1" applyAlignment="1" applyProtection="1">
      <alignment wrapText="1"/>
      <protection hidden="1"/>
    </xf>
    <xf numFmtId="165" fontId="9" fillId="8" borderId="0" xfId="1" applyNumberFormat="1" applyFont="1" applyFill="1" applyAlignment="1" applyProtection="1">
      <alignment horizontal="center" vertical="center"/>
      <protection locked="0"/>
    </xf>
    <xf numFmtId="0" fontId="8" fillId="0" borderId="0" xfId="0" applyFont="1" applyAlignment="1" applyProtection="1">
      <alignment horizontal="right" vertical="top" wrapText="1"/>
      <protection hidden="1"/>
    </xf>
    <xf numFmtId="0" fontId="7" fillId="0" borderId="0" xfId="0" applyFont="1" applyAlignment="1" applyProtection="1">
      <alignment wrapText="1"/>
      <protection hidden="1"/>
    </xf>
    <xf numFmtId="0" fontId="7" fillId="3" borderId="0" xfId="0" applyFont="1" applyFill="1" applyProtection="1">
      <protection hidden="1"/>
    </xf>
    <xf numFmtId="0" fontId="7" fillId="3" borderId="0" xfId="0" applyFont="1" applyFill="1" applyAlignment="1" applyProtection="1">
      <alignment wrapText="1"/>
      <protection hidden="1"/>
    </xf>
    <xf numFmtId="0" fontId="11" fillId="0" borderId="0" xfId="0" applyFont="1" applyProtection="1">
      <protection hidden="1"/>
    </xf>
    <xf numFmtId="0" fontId="7" fillId="5" borderId="0" xfId="0" applyFont="1" applyFill="1" applyProtection="1">
      <protection hidden="1"/>
    </xf>
    <xf numFmtId="0" fontId="7" fillId="7" borderId="0" xfId="0" applyFont="1" applyFill="1" applyProtection="1">
      <protection hidden="1"/>
    </xf>
    <xf numFmtId="0" fontId="7" fillId="4" borderId="0" xfId="0" applyFont="1" applyFill="1" applyProtection="1">
      <protection hidden="1"/>
    </xf>
    <xf numFmtId="0" fontId="7" fillId="6" borderId="0" xfId="0" applyFont="1" applyFill="1" applyProtection="1">
      <protection hidden="1"/>
    </xf>
    <xf numFmtId="166" fontId="5" fillId="0" borderId="0" xfId="0" applyNumberFormat="1" applyFont="1" applyAlignment="1" applyProtection="1">
      <alignment horizontal="left" vertical="top" wrapText="1"/>
      <protection hidden="1"/>
    </xf>
    <xf numFmtId="0" fontId="0" fillId="10" borderId="0" xfId="0" applyFill="1"/>
    <xf numFmtId="0" fontId="5" fillId="0" borderId="0" xfId="0" applyFont="1" applyAlignment="1" applyProtection="1">
      <alignment vertical="top"/>
      <protection hidden="1"/>
    </xf>
    <xf numFmtId="0" fontId="0" fillId="10" borderId="3" xfId="0" applyFill="1" applyBorder="1"/>
    <xf numFmtId="0" fontId="0" fillId="10" borderId="4" xfId="0" applyFill="1" applyBorder="1"/>
    <xf numFmtId="0" fontId="0" fillId="10" borderId="5" xfId="0" applyFill="1" applyBorder="1"/>
    <xf numFmtId="14" fontId="0" fillId="10" borderId="0" xfId="0" applyNumberFormat="1" applyFill="1"/>
    <xf numFmtId="14" fontId="0" fillId="12" borderId="3" xfId="0" applyNumberFormat="1" applyFill="1" applyBorder="1"/>
    <xf numFmtId="14" fontId="0" fillId="10" borderId="4" xfId="0" applyNumberFormat="1" applyFill="1" applyBorder="1"/>
    <xf numFmtId="14" fontId="14" fillId="12" borderId="4" xfId="0" applyNumberFormat="1" applyFont="1" applyFill="1" applyBorder="1"/>
    <xf numFmtId="0" fontId="15" fillId="13" borderId="6" xfId="0" applyFont="1" applyFill="1" applyBorder="1" applyAlignment="1">
      <alignment vertical="center" wrapText="1"/>
    </xf>
    <xf numFmtId="0" fontId="15" fillId="13" borderId="7" xfId="0" applyFont="1" applyFill="1" applyBorder="1" applyAlignment="1">
      <alignment vertical="center" wrapText="1"/>
    </xf>
    <xf numFmtId="0" fontId="15" fillId="13" borderId="8" xfId="0" applyFont="1" applyFill="1" applyBorder="1" applyAlignment="1">
      <alignment vertical="center" wrapText="1"/>
    </xf>
    <xf numFmtId="0" fontId="16" fillId="14" borderId="9" xfId="0" applyFont="1" applyFill="1" applyBorder="1" applyAlignment="1">
      <alignment vertical="center" wrapText="1"/>
    </xf>
    <xf numFmtId="14" fontId="16" fillId="14" borderId="10" xfId="0" applyNumberFormat="1" applyFont="1" applyFill="1" applyBorder="1" applyAlignment="1">
      <alignment vertical="center" wrapText="1"/>
    </xf>
    <xf numFmtId="0" fontId="16" fillId="14" borderId="10" xfId="0" applyFont="1" applyFill="1" applyBorder="1" applyAlignment="1">
      <alignment vertical="center" wrapText="1"/>
    </xf>
    <xf numFmtId="0" fontId="16" fillId="14" borderId="11" xfId="0" applyFont="1" applyFill="1" applyBorder="1"/>
    <xf numFmtId="0" fontId="16" fillId="14" borderId="10" xfId="0" applyFont="1" applyFill="1" applyBorder="1"/>
    <xf numFmtId="14" fontId="16" fillId="14" borderId="10" xfId="0" applyNumberFormat="1" applyFont="1" applyFill="1" applyBorder="1"/>
    <xf numFmtId="0" fontId="16" fillId="10" borderId="9" xfId="0" applyFont="1" applyFill="1" applyBorder="1" applyAlignment="1">
      <alignment vertical="center" wrapText="1"/>
    </xf>
    <xf numFmtId="14" fontId="16" fillId="10" borderId="10" xfId="0" applyNumberFormat="1" applyFont="1" applyFill="1" applyBorder="1"/>
    <xf numFmtId="0" fontId="16" fillId="10" borderId="9" xfId="0" applyFont="1" applyFill="1" applyBorder="1" applyAlignment="1">
      <alignment vertical="top" wrapText="1"/>
    </xf>
    <xf numFmtId="14" fontId="16" fillId="10" borderId="10" xfId="0" applyNumberFormat="1" applyFont="1" applyFill="1" applyBorder="1" applyAlignment="1">
      <alignment vertical="top"/>
    </xf>
    <xf numFmtId="0" fontId="16" fillId="10" borderId="10" xfId="0" applyFont="1" applyFill="1" applyBorder="1" applyAlignment="1">
      <alignment vertical="top"/>
    </xf>
    <xf numFmtId="0" fontId="16" fillId="10" borderId="10" xfId="0" applyFont="1" applyFill="1" applyBorder="1" applyAlignment="1">
      <alignment vertical="top" wrapText="1"/>
    </xf>
    <xf numFmtId="14" fontId="16" fillId="10" borderId="10" xfId="0" applyNumberFormat="1" applyFont="1" applyFill="1" applyBorder="1" applyAlignment="1">
      <alignment vertical="top" wrapText="1"/>
    </xf>
    <xf numFmtId="0" fontId="16" fillId="10" borderId="11" xfId="0" applyFont="1" applyFill="1" applyBorder="1" applyAlignment="1">
      <alignment vertical="top"/>
    </xf>
    <xf numFmtId="9" fontId="0" fillId="10" borderId="0" xfId="0" applyNumberFormat="1" applyFill="1"/>
    <xf numFmtId="0" fontId="16" fillId="10" borderId="12" xfId="0" applyFont="1" applyFill="1" applyBorder="1" applyAlignment="1">
      <alignment vertical="top" wrapText="1"/>
    </xf>
    <xf numFmtId="14" fontId="16" fillId="10" borderId="13" xfId="0" applyNumberFormat="1" applyFont="1" applyFill="1" applyBorder="1" applyAlignment="1">
      <alignment vertical="top"/>
    </xf>
    <xf numFmtId="0" fontId="16" fillId="10" borderId="13" xfId="0" applyFont="1" applyFill="1" applyBorder="1" applyAlignment="1">
      <alignment vertical="top"/>
    </xf>
    <xf numFmtId="0" fontId="16" fillId="10" borderId="13" xfId="0" applyFont="1" applyFill="1" applyBorder="1" applyAlignment="1">
      <alignment vertical="top" wrapText="1"/>
    </xf>
    <xf numFmtId="14" fontId="16" fillId="10" borderId="13" xfId="0" applyNumberFormat="1" applyFont="1" applyFill="1" applyBorder="1" applyAlignment="1">
      <alignment vertical="top" wrapText="1"/>
    </xf>
    <xf numFmtId="0" fontId="16" fillId="10" borderId="14" xfId="0" applyFont="1" applyFill="1" applyBorder="1" applyAlignment="1">
      <alignment vertical="top"/>
    </xf>
    <xf numFmtId="0" fontId="14" fillId="12" borderId="5" xfId="0" applyNumberFormat="1" applyFont="1" applyFill="1" applyBorder="1"/>
    <xf numFmtId="0" fontId="0" fillId="2" borderId="0" xfId="0" applyFill="1" applyProtection="1">
      <protection hidden="1"/>
    </xf>
    <xf numFmtId="0" fontId="0" fillId="0" borderId="0" xfId="0" applyProtection="1">
      <protection hidden="1"/>
    </xf>
    <xf numFmtId="0" fontId="7" fillId="9" borderId="0" xfId="0" applyFont="1" applyFill="1" applyProtection="1">
      <protection hidden="1"/>
    </xf>
    <xf numFmtId="0" fontId="7" fillId="10" borderId="0" xfId="0" applyFont="1" applyFill="1" applyProtection="1">
      <protection hidden="1"/>
    </xf>
    <xf numFmtId="0" fontId="7" fillId="11" borderId="0" xfId="0" applyFont="1" applyFill="1" applyProtection="1">
      <protection hidden="1"/>
    </xf>
    <xf numFmtId="0" fontId="7" fillId="10" borderId="2" xfId="0" applyFont="1" applyFill="1" applyBorder="1" applyProtection="1">
      <protection hidden="1"/>
    </xf>
    <xf numFmtId="0" fontId="7" fillId="10" borderId="2" xfId="0" applyFont="1" applyFill="1" applyBorder="1" applyAlignment="1" applyProtection="1">
      <alignment horizontal="right"/>
      <protection hidden="1"/>
    </xf>
    <xf numFmtId="0" fontId="7" fillId="10" borderId="2" xfId="0" applyFont="1" applyFill="1" applyBorder="1" applyAlignment="1" applyProtection="1">
      <alignment horizontal="left"/>
      <protection hidden="1"/>
    </xf>
    <xf numFmtId="0" fontId="7" fillId="10" borderId="2" xfId="0" applyFont="1" applyFill="1" applyBorder="1" applyAlignment="1" applyProtection="1">
      <alignment horizontal="right" vertical="top"/>
      <protection hidden="1"/>
    </xf>
    <xf numFmtId="0" fontId="7" fillId="10" borderId="2" xfId="0" applyFont="1" applyFill="1" applyBorder="1" applyAlignment="1" applyProtection="1">
      <alignment horizontal="left" vertical="top" wrapText="1"/>
      <protection hidden="1"/>
    </xf>
    <xf numFmtId="164" fontId="7" fillId="10" borderId="2" xfId="0" applyNumberFormat="1" applyFont="1" applyFill="1" applyBorder="1" applyAlignment="1" applyProtection="1">
      <alignment horizontal="left" vertical="top" wrapText="1"/>
      <protection hidden="1"/>
    </xf>
    <xf numFmtId="0" fontId="0" fillId="10" borderId="0" xfId="0" applyFill="1" applyProtection="1">
      <protection hidden="1"/>
    </xf>
    <xf numFmtId="0" fontId="7" fillId="10" borderId="2" xfId="0" applyFont="1" applyFill="1" applyBorder="1" applyAlignment="1" applyProtection="1">
      <alignment horizontal="right"/>
      <protection hidden="1"/>
    </xf>
    <xf numFmtId="0" fontId="7" fillId="10" borderId="2" xfId="0" applyFont="1" applyFill="1" applyBorder="1" applyAlignment="1" applyProtection="1">
      <alignment horizontal="left"/>
      <protection hidden="1"/>
    </xf>
    <xf numFmtId="0" fontId="0" fillId="15" borderId="0" xfId="0" applyFill="1" applyProtection="1">
      <protection hidden="1"/>
    </xf>
    <xf numFmtId="0" fontId="7" fillId="16" borderId="0" xfId="0" applyFont="1" applyFill="1" applyProtection="1">
      <protection hidden="1"/>
    </xf>
    <xf numFmtId="0" fontId="17" fillId="16" borderId="0" xfId="0" applyFont="1" applyFill="1" applyProtection="1">
      <protection hidden="1"/>
    </xf>
    <xf numFmtId="164" fontId="17" fillId="16" borderId="0" xfId="0" applyNumberFormat="1" applyFont="1" applyFill="1" applyProtection="1">
      <protection hidden="1"/>
    </xf>
    <xf numFmtId="164" fontId="17" fillId="16" borderId="0" xfId="1" applyNumberFormat="1" applyFont="1" applyFill="1" applyProtection="1">
      <protection hidden="1"/>
    </xf>
    <xf numFmtId="0" fontId="17" fillId="16" borderId="0" xfId="0" applyFont="1" applyFill="1" applyAlignment="1" applyProtection="1">
      <alignment horizontal="right"/>
      <protection hidden="1"/>
    </xf>
    <xf numFmtId="0" fontId="0" fillId="16" borderId="0" xfId="0" applyFill="1" applyProtection="1">
      <protection hidden="1"/>
    </xf>
    <xf numFmtId="0" fontId="0" fillId="10" borderId="0" xfId="0" applyFill="1" applyBorder="1" applyProtection="1">
      <protection hidden="1"/>
    </xf>
    <xf numFmtId="0" fontId="0" fillId="15" borderId="0" xfId="0" applyFill="1"/>
    <xf numFmtId="0" fontId="0" fillId="15" borderId="15" xfId="0" applyFill="1" applyBorder="1" applyProtection="1">
      <protection hidden="1"/>
    </xf>
    <xf numFmtId="0" fontId="0" fillId="10" borderId="16" xfId="0" applyFill="1" applyBorder="1" applyProtection="1">
      <protection hidden="1"/>
    </xf>
    <xf numFmtId="0" fontId="7" fillId="4" borderId="17" xfId="0" applyFont="1" applyFill="1" applyBorder="1" applyProtection="1">
      <protection hidden="1"/>
    </xf>
    <xf numFmtId="0" fontId="7" fillId="4" borderId="16" xfId="0" applyFont="1" applyFill="1" applyBorder="1" applyProtection="1">
      <protection hidden="1"/>
    </xf>
    <xf numFmtId="0" fontId="0" fillId="0" borderId="10" xfId="0" applyFill="1" applyBorder="1" applyAlignment="1">
      <alignment wrapText="1"/>
    </xf>
    <xf numFmtId="0" fontId="7" fillId="10" borderId="0" xfId="0" applyFont="1" applyFill="1" applyBorder="1" applyProtection="1">
      <protection hidden="1"/>
    </xf>
    <xf numFmtId="0" fontId="7" fillId="10" borderId="0" xfId="0" applyFont="1" applyFill="1" applyBorder="1" applyAlignment="1" applyProtection="1">
      <alignment horizontal="right"/>
      <protection hidden="1"/>
    </xf>
    <xf numFmtId="0" fontId="7" fillId="10" borderId="0" xfId="0" applyFont="1" applyFill="1" applyBorder="1" applyAlignment="1" applyProtection="1">
      <alignment horizontal="left"/>
      <protection hidden="1"/>
    </xf>
    <xf numFmtId="0" fontId="21" fillId="11" borderId="0" xfId="0" applyFont="1" applyFill="1" applyProtection="1">
      <protection hidden="1"/>
    </xf>
    <xf numFmtId="0" fontId="20" fillId="11" borderId="0" xfId="0" applyFont="1" applyFill="1" applyAlignment="1" applyProtection="1">
      <protection hidden="1"/>
    </xf>
    <xf numFmtId="0" fontId="21" fillId="11" borderId="0" xfId="0" applyFont="1" applyFill="1" applyAlignment="1" applyProtection="1">
      <protection hidden="1"/>
    </xf>
    <xf numFmtId="0" fontId="7" fillId="11" borderId="0" xfId="0" applyFont="1" applyFill="1" applyAlignment="1" applyProtection="1">
      <protection hidden="1"/>
    </xf>
    <xf numFmtId="0" fontId="7" fillId="10" borderId="2" xfId="0" applyFont="1" applyFill="1" applyBorder="1" applyAlignment="1" applyProtection="1">
      <protection hidden="1"/>
    </xf>
    <xf numFmtId="0" fontId="20" fillId="11" borderId="0" xfId="0" applyFont="1" applyFill="1" applyAlignment="1" applyProtection="1">
      <alignment horizontal="left" indent="1"/>
      <protection hidden="1"/>
    </xf>
    <xf numFmtId="0" fontId="20" fillId="11" borderId="18" xfId="0" applyFont="1" applyFill="1" applyBorder="1" applyAlignment="1" applyProtection="1">
      <alignment horizontal="left" indent="3"/>
      <protection hidden="1"/>
    </xf>
    <xf numFmtId="0" fontId="7" fillId="10" borderId="19" xfId="0" applyFont="1" applyFill="1" applyBorder="1" applyAlignment="1" applyProtection="1">
      <protection hidden="1"/>
    </xf>
    <xf numFmtId="0" fontId="7" fillId="10" borderId="19" xfId="0" applyFont="1" applyFill="1" applyBorder="1" applyAlignment="1" applyProtection="1">
      <alignment horizontal="left"/>
      <protection hidden="1"/>
    </xf>
    <xf numFmtId="0" fontId="7" fillId="10" borderId="18" xfId="0" applyFont="1" applyFill="1" applyBorder="1" applyAlignment="1" applyProtection="1">
      <alignment horizontal="left"/>
      <protection hidden="1"/>
    </xf>
    <xf numFmtId="0" fontId="0" fillId="15" borderId="18" xfId="0" applyFill="1" applyBorder="1" applyProtection="1">
      <protection hidden="1"/>
    </xf>
    <xf numFmtId="0" fontId="20" fillId="11" borderId="18" xfId="0" applyFont="1" applyFill="1" applyBorder="1" applyAlignment="1" applyProtection="1">
      <alignment horizontal="left" indent="1"/>
      <protection hidden="1"/>
    </xf>
    <xf numFmtId="0" fontId="5" fillId="0" borderId="0" xfId="0" applyFont="1" applyAlignment="1" applyProtection="1">
      <alignment horizontal="left" wrapText="1"/>
      <protection hidden="1"/>
    </xf>
    <xf numFmtId="0" fontId="0" fillId="0" borderId="0" xfId="0" applyAlignment="1">
      <alignment horizontal="left"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protection hidden="1"/>
    </xf>
    <xf numFmtId="0" fontId="10" fillId="0" borderId="0" xfId="0" applyFont="1" applyAlignment="1" applyProtection="1">
      <alignment horizontal="left" vertical="top" wrapText="1"/>
      <protection hidden="1"/>
    </xf>
    <xf numFmtId="0" fontId="10" fillId="0" borderId="0" xfId="0" applyFont="1" applyAlignment="1" applyProtection="1">
      <alignment horizontal="left" wrapText="1"/>
      <protection hidden="1"/>
    </xf>
    <xf numFmtId="0" fontId="6" fillId="0" borderId="0" xfId="0" applyFont="1" applyAlignment="1" applyProtection="1">
      <alignment horizontal="center" vertical="top" wrapText="1"/>
      <protection hidden="1"/>
    </xf>
    <xf numFmtId="165" fontId="10" fillId="0" borderId="0" xfId="0" applyNumberFormat="1" applyFont="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8" fillId="0" borderId="0" xfId="0" applyFont="1" applyAlignment="1" applyProtection="1">
      <alignment horizontal="left" wrapText="1"/>
      <protection hidden="1"/>
    </xf>
    <xf numFmtId="0" fontId="8" fillId="0" borderId="0" xfId="0" applyFont="1" applyAlignment="1" applyProtection="1">
      <alignment horizontal="left" vertical="top" wrapText="1"/>
      <protection hidden="1"/>
    </xf>
    <xf numFmtId="0" fontId="13" fillId="10" borderId="0" xfId="0" applyFont="1" applyFill="1" applyAlignment="1" applyProtection="1">
      <alignment horizontal="right"/>
      <protection hidden="1"/>
    </xf>
    <xf numFmtId="0" fontId="13" fillId="10" borderId="0" xfId="0" applyFont="1" applyFill="1" applyAlignment="1" applyProtection="1">
      <alignment horizontal="left"/>
      <protection hidden="1"/>
    </xf>
    <xf numFmtId="0" fontId="18" fillId="16" borderId="0" xfId="0" applyFont="1" applyFill="1" applyAlignment="1" applyProtection="1">
      <alignment horizontal="center" vertical="center" wrapText="1"/>
      <protection hidden="1"/>
    </xf>
    <xf numFmtId="164" fontId="19" fillId="10" borderId="0" xfId="1" applyNumberFormat="1" applyFont="1" applyFill="1" applyAlignment="1" applyProtection="1">
      <alignment horizontal="center" vertical="center"/>
      <protection locked="0"/>
    </xf>
    <xf numFmtId="0" fontId="7" fillId="10" borderId="2" xfId="0" applyFont="1" applyFill="1" applyBorder="1" applyAlignment="1" applyProtection="1">
      <alignment horizontal="right" vertical="top"/>
      <protection hidden="1"/>
    </xf>
    <xf numFmtId="0" fontId="7" fillId="10" borderId="2" xfId="0" applyFont="1" applyFill="1" applyBorder="1" applyAlignment="1" applyProtection="1">
      <alignment horizontal="left" vertical="top" wrapText="1"/>
      <protection hidden="1"/>
    </xf>
    <xf numFmtId="0" fontId="7" fillId="10" borderId="2" xfId="0" applyFont="1" applyFill="1" applyBorder="1" applyAlignment="1" applyProtection="1">
      <alignment horizontal="right"/>
      <protection hidden="1"/>
    </xf>
    <xf numFmtId="0" fontId="7" fillId="10" borderId="2" xfId="0" applyFont="1" applyFill="1" applyBorder="1" applyAlignment="1" applyProtection="1">
      <alignment horizontal="left"/>
      <protection hidden="1"/>
    </xf>
    <xf numFmtId="9" fontId="7" fillId="10" borderId="2" xfId="0" applyNumberFormat="1" applyFont="1" applyFill="1" applyBorder="1" applyAlignment="1" applyProtection="1">
      <alignment horizontal="left"/>
      <protection hidden="1"/>
    </xf>
    <xf numFmtId="0" fontId="12" fillId="11" borderId="0" xfId="0" applyFont="1" applyFill="1" applyAlignment="1" applyProtection="1">
      <alignment horizontal="left"/>
      <protection hidden="1"/>
    </xf>
    <xf numFmtId="0" fontId="7" fillId="11" borderId="0" xfId="0" applyFont="1" applyFill="1" applyAlignment="1" applyProtection="1">
      <alignment horizontal="center"/>
      <protection hidden="1"/>
    </xf>
  </cellXfs>
  <cellStyles count="3">
    <cellStyle name="Procent" xfId="2" builtinId="5"/>
    <cellStyle name="Standaard" xfId="0" builtinId="0"/>
    <cellStyle name="Valuta" xfId="1" builtinId="4"/>
  </cellStyles>
  <dxfs count="1">
    <dxf>
      <fill>
        <patternFill>
          <bgColor rgb="FFE59200"/>
        </patternFill>
      </fill>
    </dxf>
  </dxfs>
  <tableStyles count="0" defaultTableStyle="TableStyleMedium2" defaultPivotStyle="PivotStyleLight16"/>
  <colors>
    <mruColors>
      <color rgb="FF595959"/>
      <color rgb="FFDDDDDD"/>
      <color rgb="FF7F7F7F"/>
      <color rgb="FF4FB4E7"/>
      <color rgb="FF78BE20"/>
      <color rgb="FF00519D"/>
      <color rgb="FFBCCEDB"/>
      <color rgb="FFF6F6F6"/>
      <color rgb="FF70D0F4"/>
      <color rgb="FF339A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rgbClr val="008295"/>
            </a:solidFill>
            <a:ln>
              <a:noFill/>
            </a:ln>
            <a:effectLst/>
          </c:spPr>
          <c:invertIfNegative val="0"/>
          <c:dLbls>
            <c:dLbl>
              <c:idx val="0"/>
              <c:tx>
                <c:rich>
                  <a:bodyPr/>
                  <a:lstStyle/>
                  <a:p>
                    <a:fld id="{AAD11462-8401-420C-8B24-D00EE50D54B1}"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5E8-4119-9766-49DBAA613877}"/>
                </c:ext>
              </c:extLst>
            </c:dLbl>
            <c:dLbl>
              <c:idx val="1"/>
              <c:tx>
                <c:rich>
                  <a:bodyPr/>
                  <a:lstStyle/>
                  <a:p>
                    <a:fld id="{FFB5822B-14FC-430D-9CC7-A4FB2DEFEFD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45E8-4119-9766-49DBAA613877}"/>
                </c:ext>
              </c:extLst>
            </c:dLbl>
            <c:dLbl>
              <c:idx val="2"/>
              <c:delete val="1"/>
              <c:extLst>
                <c:ext xmlns:c15="http://schemas.microsoft.com/office/drawing/2012/chart" uri="{CE6537A1-D6FC-4f65-9D91-7224C49458BB}"/>
                <c:ext xmlns:c16="http://schemas.microsoft.com/office/drawing/2014/chart" uri="{C3380CC4-5D6E-409C-BE32-E72D297353CC}">
                  <c16:uniqueId val="{00000013-45E8-4119-9766-49DBAA613877}"/>
                </c:ext>
              </c:extLst>
            </c:dLbl>
            <c:dLbl>
              <c:idx val="3"/>
              <c:delete val="1"/>
              <c:extLst>
                <c:ext xmlns:c15="http://schemas.microsoft.com/office/drawing/2012/chart" uri="{CE6537A1-D6FC-4f65-9D91-7224C49458BB}"/>
                <c:ext xmlns:c16="http://schemas.microsoft.com/office/drawing/2014/chart" uri="{C3380CC4-5D6E-409C-BE32-E72D297353CC}">
                  <c16:uniqueId val="{00000014-45E8-4119-9766-49DBAA613877}"/>
                </c:ext>
              </c:extLst>
            </c:dLbl>
            <c:dLbl>
              <c:idx val="4"/>
              <c:delete val="1"/>
              <c:extLst>
                <c:ext xmlns:c15="http://schemas.microsoft.com/office/drawing/2012/chart" uri="{CE6537A1-D6FC-4f65-9D91-7224C49458BB}"/>
                <c:ext xmlns:c16="http://schemas.microsoft.com/office/drawing/2014/chart" uri="{C3380CC4-5D6E-409C-BE32-E72D297353CC}">
                  <c16:uniqueId val="{00000015-45E8-4119-9766-49DBAA613877}"/>
                </c:ext>
              </c:extLst>
            </c:dLbl>
            <c:dLbl>
              <c:idx val="5"/>
              <c:delete val="1"/>
              <c:extLst>
                <c:ext xmlns:c15="http://schemas.microsoft.com/office/drawing/2012/chart" uri="{CE6537A1-D6FC-4f65-9D91-7224C49458BB}"/>
                <c:ext xmlns:c16="http://schemas.microsoft.com/office/drawing/2014/chart" uri="{C3380CC4-5D6E-409C-BE32-E72D297353CC}">
                  <c16:uniqueId val="{00000016-45E8-4119-9766-49DBAA613877}"/>
                </c:ext>
              </c:extLst>
            </c:dLbl>
            <c:dLbl>
              <c:idx val="6"/>
              <c:delete val="1"/>
              <c:extLst>
                <c:ext xmlns:c15="http://schemas.microsoft.com/office/drawing/2012/chart" uri="{CE6537A1-D6FC-4f65-9D91-7224C49458BB}"/>
                <c:ext xmlns:c16="http://schemas.microsoft.com/office/drawing/2014/chart" uri="{C3380CC4-5D6E-409C-BE32-E72D297353CC}">
                  <c16:uniqueId val="{00000017-45E8-4119-9766-49DBAA613877}"/>
                </c:ext>
              </c:extLst>
            </c:dLbl>
            <c:dLbl>
              <c:idx val="7"/>
              <c:delete val="1"/>
              <c:extLst>
                <c:ext xmlns:c15="http://schemas.microsoft.com/office/drawing/2012/chart" uri="{CE6537A1-D6FC-4f65-9D91-7224C49458BB}"/>
                <c:ext xmlns:c16="http://schemas.microsoft.com/office/drawing/2014/chart" uri="{C3380CC4-5D6E-409C-BE32-E72D297353CC}">
                  <c16:uniqueId val="{00000018-45E8-4119-9766-49DBAA6138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Grafiekblad!$L$9:$L$16</c:f>
              <c:numCache>
                <c:formatCode>0%</c:formatCode>
                <c:ptCount val="8"/>
                <c:pt idx="0">
                  <c:v>1</c:v>
                </c:pt>
                <c:pt idx="1">
                  <c:v>0.7</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0-45E8-4119-9766-49DBAA613877}"/>
            </c:ext>
          </c:extLst>
        </c:ser>
        <c:ser>
          <c:idx val="1"/>
          <c:order val="1"/>
          <c:tx>
            <c:strRef>
              <c:f>Grafiekblad!$N$8</c:f>
              <c:strCache>
                <c:ptCount val="1"/>
                <c:pt idx="0">
                  <c:v>Nieuw loon</c:v>
                </c:pt>
              </c:strCache>
            </c:strRef>
          </c:tx>
          <c:spPr>
            <a:solidFill>
              <a:srgbClr val="BCCEDB"/>
            </a:solidFill>
            <a:ln>
              <a:noFill/>
            </a:ln>
            <a:effectLst/>
          </c:spPr>
          <c:invertIfNegative val="0"/>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Grafiekblad!$N$9:$N$16</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01-45E8-4119-9766-49DBAA613877}"/>
            </c:ext>
          </c:extLst>
        </c:ser>
        <c:ser>
          <c:idx val="2"/>
          <c:order val="2"/>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45E8-4119-9766-49DBAA613877}"/>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45E8-4119-9766-49DBAA613877}"/>
                </c:ext>
              </c:extLst>
            </c:dLbl>
            <c:dLbl>
              <c:idx val="2"/>
              <c:tx>
                <c:rich>
                  <a:bodyPr/>
                  <a:lstStyle/>
                  <a:p>
                    <a:fld id="{C7CBEA4F-5A73-464C-BCC9-A340F67C115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45E8-4119-9766-49DBAA613877}"/>
                </c:ext>
              </c:extLst>
            </c:dLbl>
            <c:dLbl>
              <c:idx val="3"/>
              <c:delete val="1"/>
              <c:extLst>
                <c:ext xmlns:c15="http://schemas.microsoft.com/office/drawing/2012/chart" uri="{CE6537A1-D6FC-4f65-9D91-7224C49458BB}"/>
                <c:ext xmlns:c16="http://schemas.microsoft.com/office/drawing/2014/chart" uri="{C3380CC4-5D6E-409C-BE32-E72D297353CC}">
                  <c16:uniqueId val="{00000005-45E8-4119-9766-49DBAA613877}"/>
                </c:ext>
              </c:extLst>
            </c:dLbl>
            <c:dLbl>
              <c:idx val="4"/>
              <c:delete val="1"/>
              <c:extLst>
                <c:ext xmlns:c15="http://schemas.microsoft.com/office/drawing/2012/chart" uri="{CE6537A1-D6FC-4f65-9D91-7224C49458BB}"/>
                <c:ext xmlns:c16="http://schemas.microsoft.com/office/drawing/2014/chart" uri="{C3380CC4-5D6E-409C-BE32-E72D297353CC}">
                  <c16:uniqueId val="{00000006-45E8-4119-9766-49DBAA613877}"/>
                </c:ext>
              </c:extLst>
            </c:dLbl>
            <c:dLbl>
              <c:idx val="5"/>
              <c:tx>
                <c:rich>
                  <a:bodyPr/>
                  <a:lstStyle/>
                  <a:p>
                    <a:fld id="{B05C97CC-9B32-413C-8152-DC901077C9F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45E8-4119-9766-49DBAA613877}"/>
                </c:ext>
              </c:extLst>
            </c:dLbl>
            <c:dLbl>
              <c:idx val="6"/>
              <c:delete val="1"/>
              <c:extLst>
                <c:ext xmlns:c15="http://schemas.microsoft.com/office/drawing/2012/chart" uri="{CE6537A1-D6FC-4f65-9D91-7224C49458BB}"/>
                <c:ext xmlns:c16="http://schemas.microsoft.com/office/drawing/2014/chart" uri="{C3380CC4-5D6E-409C-BE32-E72D297353CC}">
                  <c16:uniqueId val="{00000007-45E8-4119-9766-49DBAA613877}"/>
                </c:ext>
              </c:extLst>
            </c:dLbl>
            <c:dLbl>
              <c:idx val="7"/>
              <c:delete val="1"/>
              <c:extLst>
                <c:ext xmlns:c15="http://schemas.microsoft.com/office/drawing/2012/chart" uri="{CE6537A1-D6FC-4f65-9D91-7224C49458BB}"/>
                <c:ext xmlns:c16="http://schemas.microsoft.com/office/drawing/2014/chart" uri="{C3380CC4-5D6E-409C-BE32-E72D297353CC}">
                  <c16:uniqueId val="{00000008-45E8-4119-9766-49DBAA6138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Grafiekblad!$O$9:$O$16</c:f>
              <c:numCache>
                <c:formatCode>0%</c:formatCode>
                <c:ptCount val="8"/>
                <c:pt idx="2">
                  <c:v>0.7</c:v>
                </c:pt>
                <c:pt idx="3">
                  <c:v>0.24855249999999995</c:v>
                </c:pt>
                <c:pt idx="4">
                  <c:v>0.24855249999999995</c:v>
                </c:pt>
                <c:pt idx="5">
                  <c:v>0.24855249999999995</c:v>
                </c:pt>
                <c:pt idx="6">
                  <c:v>0.24855249999999995</c:v>
                </c:pt>
                <c:pt idx="7">
                  <c:v>0.24855249999999995</c:v>
                </c:pt>
              </c:numCache>
            </c:numRef>
          </c:val>
          <c:extLst>
            <c:ext xmlns:c15="http://schemas.microsoft.com/office/drawing/2012/chart" uri="{02D57815-91ED-43cb-92C2-25804820EDAC}">
              <c15:datalabelsRange>
                <c15:f>Grafiekblad!$F$9:$F$16</c15:f>
                <c15:dlblRangeCache>
                  <c:ptCount val="8"/>
                  <c:pt idx="0">
                    <c:v> € -   </c:v>
                  </c:pt>
                  <c:pt idx="1">
                    <c:v> € -   </c:v>
                  </c:pt>
                  <c:pt idx="2">
                    <c:v> € 28.000 </c:v>
                  </c:pt>
                  <c:pt idx="3">
                    <c:v> € 9.942 </c:v>
                  </c:pt>
                  <c:pt idx="4">
                    <c:v> € 9.942 </c:v>
                  </c:pt>
                  <c:pt idx="5">
                    <c:v> € 9.942 </c:v>
                  </c:pt>
                  <c:pt idx="6">
                    <c:v> € 9.942 </c:v>
                  </c:pt>
                  <c:pt idx="7">
                    <c:v> € 9.942 </c:v>
                  </c:pt>
                </c15:dlblRangeCache>
              </c15:datalabelsRange>
            </c:ext>
            <c:ext xmlns:c16="http://schemas.microsoft.com/office/drawing/2014/chart" uri="{C3380CC4-5D6E-409C-BE32-E72D297353CC}">
              <c16:uniqueId val="{00000002-45E8-4119-9766-49DBAA613877}"/>
            </c:ext>
          </c:extLst>
        </c:ser>
        <c:ser>
          <c:idx val="3"/>
          <c:order val="3"/>
          <c:tx>
            <c:strRef>
              <c:f>Grafiekblad!$P$8</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45E8-4119-9766-49DBAA613877}"/>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45E8-4119-9766-49DBAA613877}"/>
                </c:ext>
              </c:extLst>
            </c:dLbl>
            <c:dLbl>
              <c:idx val="2"/>
              <c:tx>
                <c:rich>
                  <a:bodyPr/>
                  <a:lstStyle/>
                  <a:p>
                    <a:fld id="{316B8602-755B-4674-9FB3-1301444297C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45E8-4119-9766-49DBAA613877}"/>
                </c:ext>
              </c:extLst>
            </c:dLbl>
            <c:dLbl>
              <c:idx val="3"/>
              <c:delete val="1"/>
              <c:extLst>
                <c:ext xmlns:c15="http://schemas.microsoft.com/office/drawing/2012/chart" uri="{CE6537A1-D6FC-4f65-9D91-7224C49458BB}"/>
                <c:ext xmlns:c16="http://schemas.microsoft.com/office/drawing/2014/chart" uri="{C3380CC4-5D6E-409C-BE32-E72D297353CC}">
                  <c16:uniqueId val="{0000001F-45E8-4119-9766-49DBAA613877}"/>
                </c:ext>
              </c:extLst>
            </c:dLbl>
            <c:dLbl>
              <c:idx val="4"/>
              <c:delete val="1"/>
              <c:extLst>
                <c:ext xmlns:c15="http://schemas.microsoft.com/office/drawing/2012/chart" uri="{CE6537A1-D6FC-4f65-9D91-7224C49458BB}"/>
                <c:ext xmlns:c16="http://schemas.microsoft.com/office/drawing/2014/chart" uri="{C3380CC4-5D6E-409C-BE32-E72D297353CC}">
                  <c16:uniqueId val="{0000000A-45E8-4119-9766-49DBAA613877}"/>
                </c:ext>
              </c:extLst>
            </c:dLbl>
            <c:dLbl>
              <c:idx val="5"/>
              <c:tx>
                <c:rich>
                  <a:bodyPr/>
                  <a:lstStyle/>
                  <a:p>
                    <a:fld id="{64C88F2D-6ED9-4D1F-856E-53955A66CDB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45E8-4119-9766-49DBAA613877}"/>
                </c:ext>
              </c:extLst>
            </c:dLbl>
            <c:dLbl>
              <c:idx val="6"/>
              <c:delete val="1"/>
              <c:extLst>
                <c:ext xmlns:c15="http://schemas.microsoft.com/office/drawing/2012/chart" uri="{CE6537A1-D6FC-4f65-9D91-7224C49458BB}"/>
                <c:ext xmlns:c16="http://schemas.microsoft.com/office/drawing/2014/chart" uri="{C3380CC4-5D6E-409C-BE32-E72D297353CC}">
                  <c16:uniqueId val="{00000020-45E8-4119-9766-49DBAA613877}"/>
                </c:ext>
              </c:extLst>
            </c:dLbl>
            <c:dLbl>
              <c:idx val="7"/>
              <c:delete val="1"/>
              <c:extLst>
                <c:ext xmlns:c15="http://schemas.microsoft.com/office/drawing/2012/chart" uri="{CE6537A1-D6FC-4f65-9D91-7224C49458BB}"/>
                <c:ext xmlns:c16="http://schemas.microsoft.com/office/drawing/2014/chart" uri="{C3380CC4-5D6E-409C-BE32-E72D297353CC}">
                  <c16:uniqueId val="{0000000C-45E8-4119-9766-49DBAA6138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Grafiekblad!$P$9:$P$16</c:f>
              <c:numCache>
                <c:formatCode>0%</c:formatCode>
                <c:ptCount val="8"/>
                <c:pt idx="2">
                  <c:v>0</c:v>
                </c:pt>
                <c:pt idx="3">
                  <c:v>0.45144750000000006</c:v>
                </c:pt>
                <c:pt idx="4">
                  <c:v>0.45144750000000006</c:v>
                </c:pt>
                <c:pt idx="5">
                  <c:v>0.45144750000000006</c:v>
                </c:pt>
                <c:pt idx="6">
                  <c:v>0.45144750000000006</c:v>
                </c:pt>
                <c:pt idx="7">
                  <c:v>0.45144750000000006</c:v>
                </c:pt>
              </c:numCache>
            </c:numRef>
          </c:val>
          <c:extLst>
            <c:ext xmlns:c15="http://schemas.microsoft.com/office/drawing/2012/chart" uri="{02D57815-91ED-43cb-92C2-25804820EDAC}">
              <c15:datalabelsRange>
                <c15:f>Grafiekblad!$G$9:$G$16</c15:f>
                <c15:dlblRangeCache>
                  <c:ptCount val="8"/>
                  <c:pt idx="0">
                    <c:v> € -   </c:v>
                  </c:pt>
                  <c:pt idx="1">
                    <c:v> € -   </c:v>
                  </c:pt>
                  <c:pt idx="2">
                    <c:v> € -   </c:v>
                  </c:pt>
                  <c:pt idx="3">
                    <c:v> € 18.058 </c:v>
                  </c:pt>
                  <c:pt idx="4">
                    <c:v> € 18.058 </c:v>
                  </c:pt>
                  <c:pt idx="5">
                    <c:v> € 18.058 </c:v>
                  </c:pt>
                  <c:pt idx="6">
                    <c:v> € 18.058 </c:v>
                  </c:pt>
                  <c:pt idx="7">
                    <c:v> € 18.058 </c:v>
                  </c:pt>
                </c15:dlblRangeCache>
              </c15:datalabelsRange>
            </c:ext>
            <c:ext xmlns:c16="http://schemas.microsoft.com/office/drawing/2014/chart" uri="{C3380CC4-5D6E-409C-BE32-E72D297353CC}">
              <c16:uniqueId val="{00000003-45E8-4119-9766-49DBAA613877}"/>
            </c:ext>
          </c:extLst>
        </c:ser>
        <c:ser>
          <c:idx val="4"/>
          <c:order val="4"/>
          <c:tx>
            <c:strRef>
              <c:f>Grafiekblad!$Q$8</c:f>
              <c:strCache>
                <c:ptCount val="1"/>
              </c:strCache>
            </c:strRef>
          </c:tx>
          <c:spPr>
            <a:solidFill>
              <a:srgbClr val="B75F1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45E8-4119-9766-49DBAA613877}"/>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45E8-4119-9766-49DBAA613877}"/>
                </c:ext>
              </c:extLst>
            </c:dLbl>
            <c:dLbl>
              <c:idx val="2"/>
              <c:tx>
                <c:rich>
                  <a:bodyPr/>
                  <a:lstStyle/>
                  <a:p>
                    <a:fld id="{B97DCF4D-E118-46A9-BD3A-AEAA992A2B69}"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45E8-4119-9766-49DBAA613877}"/>
                </c:ext>
              </c:extLst>
            </c:dLbl>
            <c:dLbl>
              <c:idx val="3"/>
              <c:delete val="1"/>
              <c:extLst>
                <c:ext xmlns:c15="http://schemas.microsoft.com/office/drawing/2012/chart" uri="{CE6537A1-D6FC-4f65-9D91-7224C49458BB}"/>
                <c:ext xmlns:c16="http://schemas.microsoft.com/office/drawing/2014/chart" uri="{C3380CC4-5D6E-409C-BE32-E72D297353CC}">
                  <c16:uniqueId val="{0000000D-45E8-4119-9766-49DBAA613877}"/>
                </c:ext>
              </c:extLst>
            </c:dLbl>
            <c:dLbl>
              <c:idx val="4"/>
              <c:delete val="1"/>
              <c:extLst>
                <c:ext xmlns:c15="http://schemas.microsoft.com/office/drawing/2012/chart" uri="{CE6537A1-D6FC-4f65-9D91-7224C49458BB}"/>
                <c:ext xmlns:c16="http://schemas.microsoft.com/office/drawing/2014/chart" uri="{C3380CC4-5D6E-409C-BE32-E72D297353CC}">
                  <c16:uniqueId val="{0000000E-45E8-4119-9766-49DBAA613877}"/>
                </c:ext>
              </c:extLst>
            </c:dLbl>
            <c:dLbl>
              <c:idx val="5"/>
              <c:tx>
                <c:rich>
                  <a:bodyPr/>
                  <a:lstStyle/>
                  <a:p>
                    <a:fld id="{495CA3C0-1204-4E8F-8808-23FF678BD6B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45E8-4119-9766-49DBAA613877}"/>
                </c:ext>
              </c:extLst>
            </c:dLbl>
            <c:dLbl>
              <c:idx val="6"/>
              <c:delete val="1"/>
              <c:extLst>
                <c:ext xmlns:c15="http://schemas.microsoft.com/office/drawing/2012/chart" uri="{CE6537A1-D6FC-4f65-9D91-7224C49458BB}"/>
                <c:ext xmlns:c16="http://schemas.microsoft.com/office/drawing/2014/chart" uri="{C3380CC4-5D6E-409C-BE32-E72D297353CC}">
                  <c16:uniqueId val="{0000000F-45E8-4119-9766-49DBAA613877}"/>
                </c:ext>
              </c:extLst>
            </c:dLbl>
            <c:dLbl>
              <c:idx val="7"/>
              <c:delete val="1"/>
              <c:extLst>
                <c:ext xmlns:c15="http://schemas.microsoft.com/office/drawing/2012/chart" uri="{CE6537A1-D6FC-4f65-9D91-7224C49458BB}"/>
                <c:ext xmlns:c16="http://schemas.microsoft.com/office/drawing/2014/chart" uri="{C3380CC4-5D6E-409C-BE32-E72D297353CC}">
                  <c16:uniqueId val="{00000010-45E8-4119-9766-49DBAA6138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Grafiekblad!$Q$9:$Q$16</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4-45E8-4119-9766-49DBAA613877}"/>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Grafiekblad!$L$50</c:f>
              <c:strCache>
                <c:ptCount val="1"/>
                <c:pt idx="0">
                  <c:v>Loondoorbetaling bij ziekte</c:v>
                </c:pt>
              </c:strCache>
            </c:strRef>
          </c:tx>
          <c:spPr>
            <a:solidFill>
              <a:srgbClr val="595959"/>
            </a:solidFill>
            <a:ln>
              <a:noFill/>
            </a:ln>
            <a:effectLst/>
          </c:spPr>
          <c:invertIfNegative val="0"/>
          <c:dLbls>
            <c:dLbl>
              <c:idx val="0"/>
              <c:tx>
                <c:rich>
                  <a:bodyPr/>
                  <a:lstStyle/>
                  <a:p>
                    <a:fld id="{F97A5764-8CF9-476F-A843-37FC8CF05637}"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A901-4E68-9A43-7E5566921383}"/>
                </c:ext>
              </c:extLst>
            </c:dLbl>
            <c:dLbl>
              <c:idx val="1"/>
              <c:tx>
                <c:rich>
                  <a:bodyPr/>
                  <a:lstStyle/>
                  <a:p>
                    <a:fld id="{260ACB12-60D5-447D-B814-0882BC1E255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A901-4E68-9A43-7E5566921383}"/>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A901-4E68-9A43-7E5566921383}"/>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A901-4E68-9A43-7E5566921383}"/>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A901-4E68-9A43-7E5566921383}"/>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901-4E68-9A43-7E5566921383}"/>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901-4E68-9A43-7E5566921383}"/>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Grafiekblad!$L$51:$L$58</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A901-4E68-9A43-7E5566921383}"/>
            </c:ext>
          </c:extLst>
        </c:ser>
        <c:ser>
          <c:idx val="1"/>
          <c:order val="1"/>
          <c:tx>
            <c:strRef>
              <c:f>Grafiekblad!$N$50</c:f>
              <c:strCache>
                <c:ptCount val="1"/>
                <c:pt idx="0">
                  <c:v>Nieuw loon</c:v>
                </c:pt>
              </c:strCache>
            </c:strRef>
          </c:tx>
          <c:spPr>
            <a:solidFill>
              <a:schemeClr val="accent2"/>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Grafiekblad!$N$51:$N$58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09-A901-4E68-9A43-7E5566921383}"/>
            </c:ext>
          </c:extLst>
        </c:ser>
        <c:ser>
          <c:idx val="2"/>
          <c:order val="2"/>
          <c:tx>
            <c:strRef>
              <c:f>Grafiekblad!$O$50</c:f>
              <c:strCache>
                <c:ptCount val="1"/>
                <c:pt idx="0">
                  <c:v>WGA uitkering</c:v>
                </c:pt>
              </c:strCache>
            </c:strRef>
          </c:tx>
          <c:spPr>
            <a:solidFill>
              <a:srgbClr val="7F7F7F"/>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A901-4E68-9A43-7E5566921383}"/>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A901-4E68-9A43-7E5566921383}"/>
                </c:ext>
              </c:extLst>
            </c:dLbl>
            <c:dLbl>
              <c:idx val="2"/>
              <c:tx>
                <c:rich>
                  <a:bodyPr/>
                  <a:lstStyle/>
                  <a:p>
                    <a:fld id="{26FCDA12-5F3B-4E16-A3F9-D111702711C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A901-4E68-9A43-7E5566921383}"/>
                </c:ext>
              </c:extLst>
            </c:dLbl>
            <c:dLbl>
              <c:idx val="3"/>
              <c:delete val="1"/>
              <c:extLst>
                <c:ext xmlns:c15="http://schemas.microsoft.com/office/drawing/2012/chart" uri="{CE6537A1-D6FC-4f65-9D91-7224C49458BB}"/>
                <c:ext xmlns:c16="http://schemas.microsoft.com/office/drawing/2014/chart" uri="{C3380CC4-5D6E-409C-BE32-E72D297353CC}">
                  <c16:uniqueId val="{0000000D-A901-4E68-9A43-7E5566921383}"/>
                </c:ext>
              </c:extLst>
            </c:dLbl>
            <c:dLbl>
              <c:idx val="4"/>
              <c:delete val="1"/>
              <c:extLst>
                <c:ext xmlns:c15="http://schemas.microsoft.com/office/drawing/2012/chart" uri="{CE6537A1-D6FC-4f65-9D91-7224C49458BB}"/>
                <c:ext xmlns:c16="http://schemas.microsoft.com/office/drawing/2014/chart" uri="{C3380CC4-5D6E-409C-BE32-E72D297353CC}">
                  <c16:uniqueId val="{0000000E-A901-4E68-9A43-7E5566921383}"/>
                </c:ext>
              </c:extLst>
            </c:dLbl>
            <c:dLbl>
              <c:idx val="5"/>
              <c:tx>
                <c:rich>
                  <a:bodyPr/>
                  <a:lstStyle/>
                  <a:p>
                    <a:fld id="{413B12ED-70EA-4B44-B389-7A96EE6AE45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A901-4E68-9A43-7E5566921383}"/>
                </c:ext>
              </c:extLst>
            </c:dLbl>
            <c:dLbl>
              <c:idx val="6"/>
              <c:delete val="1"/>
              <c:extLst>
                <c:ext xmlns:c15="http://schemas.microsoft.com/office/drawing/2012/chart" uri="{CE6537A1-D6FC-4f65-9D91-7224C49458BB}"/>
                <c:ext xmlns:c16="http://schemas.microsoft.com/office/drawing/2014/chart" uri="{C3380CC4-5D6E-409C-BE32-E72D297353CC}">
                  <c16:uniqueId val="{00000010-A901-4E68-9A43-7E5566921383}"/>
                </c:ext>
              </c:extLst>
            </c:dLbl>
            <c:dLbl>
              <c:idx val="7"/>
              <c:delete val="1"/>
              <c:extLst>
                <c:ext xmlns:c15="http://schemas.microsoft.com/office/drawing/2012/chart" uri="{CE6537A1-D6FC-4f65-9D91-7224C49458BB}"/>
                <c:ext xmlns:c16="http://schemas.microsoft.com/office/drawing/2014/chart" uri="{C3380CC4-5D6E-409C-BE32-E72D297353CC}">
                  <c16:uniqueId val="{00000011-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Grafiekblad!$O$51:$O$58</c:f>
              <c:numCache>
                <c:formatCode>0%</c:formatCode>
                <c:ptCount val="8"/>
                <c:pt idx="2">
                  <c:v>0.7</c:v>
                </c:pt>
                <c:pt idx="3">
                  <c:v>0.7</c:v>
                </c:pt>
                <c:pt idx="4">
                  <c:v>0.7</c:v>
                </c:pt>
                <c:pt idx="5">
                  <c:v>0.7</c:v>
                </c:pt>
                <c:pt idx="6">
                  <c:v>0.7</c:v>
                </c:pt>
                <c:pt idx="7">
                  <c:v>0.7</c:v>
                </c:pt>
              </c:numCache>
            </c:numRef>
          </c:val>
          <c:extLst>
            <c:ext xmlns:c15="http://schemas.microsoft.com/office/drawing/2012/chart" uri="{02D57815-91ED-43cb-92C2-25804820EDAC}">
              <c15:datalabelsRange>
                <c15:f>Grafiekblad!$F$51:$F$58</c15:f>
                <c15:dlblRangeCache>
                  <c:ptCount val="8"/>
                  <c:pt idx="0">
                    <c:v> € -   </c:v>
                  </c:pt>
                  <c:pt idx="1">
                    <c:v> € -   </c:v>
                  </c:pt>
                  <c:pt idx="2">
                    <c:v> € 28.000 </c:v>
                  </c:pt>
                  <c:pt idx="3">
                    <c:v> € 28.000 </c:v>
                  </c:pt>
                  <c:pt idx="4">
                    <c:v> € 28.000 </c:v>
                  </c:pt>
                  <c:pt idx="5">
                    <c:v> € 28.000 </c:v>
                  </c:pt>
                  <c:pt idx="6">
                    <c:v> € 28.000 </c:v>
                  </c:pt>
                  <c:pt idx="7">
                    <c:v> € 28.000 </c:v>
                  </c:pt>
                </c15:dlblRangeCache>
              </c15:datalabelsRange>
            </c:ext>
            <c:ext xmlns:c16="http://schemas.microsoft.com/office/drawing/2014/chart" uri="{C3380CC4-5D6E-409C-BE32-E72D297353CC}">
              <c16:uniqueId val="{00000012-A901-4E68-9A43-7E5566921383}"/>
            </c:ext>
          </c:extLst>
        </c:ser>
        <c:ser>
          <c:idx val="3"/>
          <c:order val="3"/>
          <c:tx>
            <c:strRef>
              <c:f>Grafiekblad!$P$50</c:f>
              <c:strCache>
                <c:ptCount val="1"/>
                <c:pt idx="0">
                  <c:v>WGA Hiaat Uitgebreid</c:v>
                </c:pt>
              </c:strCache>
            </c:strRef>
          </c:tx>
          <c:spPr>
            <a:solidFill>
              <a:schemeClr val="accent4"/>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Grafiekblad!$P$51:$P$58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B-A901-4E68-9A43-7E5566921383}"/>
            </c:ext>
          </c:extLst>
        </c:ser>
        <c:ser>
          <c:idx val="4"/>
          <c:order val="4"/>
          <c:tx>
            <c:strRef>
              <c:f>Grafiekblad!$Q$50</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A901-4E68-9A43-7E5566921383}"/>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A901-4E68-9A43-7E5566921383}"/>
                </c:ext>
              </c:extLst>
            </c:dLbl>
            <c:dLbl>
              <c:idx val="2"/>
              <c:tx>
                <c:rich>
                  <a:bodyPr/>
                  <a:lstStyle/>
                  <a:p>
                    <a:fld id="{74755D50-31FD-4957-B093-6C8CE939F07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A901-4E68-9A43-7E5566921383}"/>
                </c:ext>
              </c:extLst>
            </c:dLbl>
            <c:dLbl>
              <c:idx val="3"/>
              <c:delete val="1"/>
              <c:extLst>
                <c:ext xmlns:c15="http://schemas.microsoft.com/office/drawing/2012/chart" uri="{CE6537A1-D6FC-4f65-9D91-7224C49458BB}"/>
                <c:ext xmlns:c16="http://schemas.microsoft.com/office/drawing/2014/chart" uri="{C3380CC4-5D6E-409C-BE32-E72D297353CC}">
                  <c16:uniqueId val="{0000001F-A901-4E68-9A43-7E5566921383}"/>
                </c:ext>
              </c:extLst>
            </c:dLbl>
            <c:dLbl>
              <c:idx val="4"/>
              <c:delete val="1"/>
              <c:extLst>
                <c:ext xmlns:c15="http://schemas.microsoft.com/office/drawing/2012/chart" uri="{CE6537A1-D6FC-4f65-9D91-7224C49458BB}"/>
                <c:ext xmlns:c16="http://schemas.microsoft.com/office/drawing/2014/chart" uri="{C3380CC4-5D6E-409C-BE32-E72D297353CC}">
                  <c16:uniqueId val="{00000020-A901-4E68-9A43-7E5566921383}"/>
                </c:ext>
              </c:extLst>
            </c:dLbl>
            <c:dLbl>
              <c:idx val="5"/>
              <c:tx>
                <c:rich>
                  <a:bodyPr/>
                  <a:lstStyle/>
                  <a:p>
                    <a:fld id="{ED011823-1373-46E0-B9CE-94D0DCE6A39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A901-4E68-9A43-7E5566921383}"/>
                </c:ext>
              </c:extLst>
            </c:dLbl>
            <c:dLbl>
              <c:idx val="6"/>
              <c:delete val="1"/>
              <c:extLst>
                <c:ext xmlns:c15="http://schemas.microsoft.com/office/drawing/2012/chart" uri="{CE6537A1-D6FC-4f65-9D91-7224C49458BB}"/>
                <c:ext xmlns:c16="http://schemas.microsoft.com/office/drawing/2014/chart" uri="{C3380CC4-5D6E-409C-BE32-E72D297353CC}">
                  <c16:uniqueId val="{00000022-A901-4E68-9A43-7E5566921383}"/>
                </c:ext>
              </c:extLst>
            </c:dLbl>
            <c:dLbl>
              <c:idx val="7"/>
              <c:delete val="1"/>
              <c:extLst>
                <c:ext xmlns:c15="http://schemas.microsoft.com/office/drawing/2012/chart" uri="{CE6537A1-D6FC-4f65-9D91-7224C49458BB}"/>
                <c:ext xmlns:c16="http://schemas.microsoft.com/office/drawing/2014/chart" uri="{C3380CC4-5D6E-409C-BE32-E72D297353CC}">
                  <c16:uniqueId val="{00000023-A901-4E68-9A43-7E55669213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Grafiekblad!$K$51:$K$58</c:f>
              <c:strCache>
                <c:ptCount val="4"/>
                <c:pt idx="0">
                  <c:v>1e ziektejaar</c:v>
                </c:pt>
                <c:pt idx="1">
                  <c:v>2e ziektejaar</c:v>
                </c:pt>
                <c:pt idx="2">
                  <c:v>Vanaf 3e jaar (max. 24 maanden)</c:v>
                </c:pt>
                <c:pt idx="3">
                  <c:v>Tot AOW leeftijd</c:v>
                </c:pt>
              </c:strCache>
            </c:strRef>
          </c:cat>
          <c:val>
            <c:numRef>
              <c:f>Grafiekblad!$Q$51:$Q$58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Grafiekblad!$H$51:$H$58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4-A901-4E68-9A43-7E5566921383}"/>
            </c:ext>
          </c:extLst>
        </c:ser>
        <c:ser>
          <c:idx val="5"/>
          <c:order val="5"/>
          <c:tx>
            <c:strRef>
              <c:f>Grafiekblad!$M$50</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21CC-4639-B101-4308BFCCA96D}"/>
                </c:ext>
              </c:extLst>
            </c:dLbl>
            <c:dLbl>
              <c:idx val="1"/>
              <c:tx>
                <c:rich>
                  <a:bodyPr/>
                  <a:lstStyle/>
                  <a:p>
                    <a:fld id="{04C14D0E-0EC3-415E-926C-A9A05A546E4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1CC-4639-B101-4308BFCCA96D}"/>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21CC-4639-B101-4308BFCCA96D}"/>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21CC-4639-B101-4308BFCCA96D}"/>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21CC-4639-B101-4308BFCCA96D}"/>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21CC-4639-B101-4308BFCCA96D}"/>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21CC-4639-B101-4308BFCCA96D}"/>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21CC-4639-B101-4308BFCCA96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Grafiekblad!$M$51:$M$58</c:f>
              <c:numCache>
                <c:formatCode>0%</c:formatCode>
                <c:ptCount val="8"/>
                <c:pt idx="1">
                  <c:v>0.3</c:v>
                </c:pt>
              </c:numCache>
            </c:numRef>
          </c:val>
          <c:extLst>
            <c:ext xmlns:c15="http://schemas.microsoft.com/office/drawing/2012/chart" uri="{02D57815-91ED-43cb-92C2-25804820EDAC}">
              <c15:datalabelsRange>
                <c15:f>Grafiekblad!$D$51:$D$58</c15:f>
                <c15:dlblRangeCache>
                  <c:ptCount val="8"/>
                  <c:pt idx="1">
                    <c:v> € 12.000 </c:v>
                  </c:pt>
                </c15:dlblRangeCache>
              </c15:datalabelsRange>
            </c:ext>
            <c:ext xmlns:c16="http://schemas.microsoft.com/office/drawing/2014/chart" uri="{C3380CC4-5D6E-409C-BE32-E72D297353CC}">
              <c16:uniqueId val="{00000000-21CC-4639-B101-4308BFCCA96D}"/>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Grafiekblad!$L$29</c:f>
              <c:strCache>
                <c:ptCount val="1"/>
                <c:pt idx="0">
                  <c:v>Loondoorbetaling bij ziekte</c:v>
                </c:pt>
              </c:strCache>
            </c:strRef>
          </c:tx>
          <c:spPr>
            <a:solidFill>
              <a:srgbClr val="008295"/>
            </a:solidFill>
            <a:ln>
              <a:noFill/>
            </a:ln>
            <a:effectLst/>
          </c:spPr>
          <c:invertIfNegative val="0"/>
          <c:dLbls>
            <c:dLbl>
              <c:idx val="0"/>
              <c:tx>
                <c:rich>
                  <a:bodyPr/>
                  <a:lstStyle/>
                  <a:p>
                    <a:fld id="{CF7D2052-94B5-4F3E-92A4-5D2E6B8A244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4307-452F-8355-B9DAB53C7570}"/>
                </c:ext>
              </c:extLst>
            </c:dLbl>
            <c:dLbl>
              <c:idx val="1"/>
              <c:tx>
                <c:rich>
                  <a:bodyPr/>
                  <a:lstStyle/>
                  <a:p>
                    <a:fld id="{86B3F07C-BACF-4366-A66B-2235D33027C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307-452F-8355-B9DAB53C7570}"/>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4307-452F-8355-B9DAB53C7570}"/>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4307-452F-8355-B9DAB53C7570}"/>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4307-452F-8355-B9DAB53C7570}"/>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4307-452F-8355-B9DAB53C7570}"/>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4307-452F-8355-B9DAB53C7570}"/>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4307-452F-8355-B9DAB53C75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Grafiekblad!$L$30:$L$37</c:f>
              <c:numCache>
                <c:formatCode>0%</c:formatCode>
                <c:ptCount val="8"/>
                <c:pt idx="0">
                  <c:v>1</c:v>
                </c:pt>
                <c:pt idx="1">
                  <c:v>0.7</c:v>
                </c:pt>
              </c:numCache>
            </c:numRef>
          </c:val>
          <c:extLst>
            <c:ext xmlns:c15="http://schemas.microsoft.com/office/drawing/2012/chart" uri="{02D57815-91ED-43cb-92C2-25804820EDAC}">
              <c15:datalabelsRange>
                <c15:f>Grafiekblad!$C$30:$C$31</c15:f>
                <c15:dlblRangeCache>
                  <c:ptCount val="2"/>
                  <c:pt idx="0">
                    <c:v> € 40.000 </c:v>
                  </c:pt>
                  <c:pt idx="1">
                    <c:v> € 28.000 </c:v>
                  </c:pt>
                </c15:dlblRangeCache>
              </c15:datalabelsRange>
            </c:ext>
            <c:ext xmlns:c16="http://schemas.microsoft.com/office/drawing/2014/chart" uri="{C3380CC4-5D6E-409C-BE32-E72D297353CC}">
              <c16:uniqueId val="{00000008-4307-452F-8355-B9DAB53C7570}"/>
            </c:ext>
          </c:extLst>
        </c:ser>
        <c:ser>
          <c:idx val="1"/>
          <c:order val="1"/>
          <c:tx>
            <c:strRef>
              <c:f>Grafiekblad!$N$29</c:f>
              <c:strCache>
                <c:ptCount val="1"/>
                <c:pt idx="0">
                  <c:v>Nieuw loon</c:v>
                </c:pt>
              </c:strCache>
            </c:strRef>
          </c:tx>
          <c:spPr>
            <a:solidFill>
              <a:srgbClr val="BCCED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4307-452F-8355-B9DAB53C757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4307-452F-8355-B9DAB53C7570}"/>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fld id="{67C75616-2CE5-452B-A9B8-8F586465B293}" type="CELLRANGE">
                      <a:rPr lang="nl-NL"/>
                      <a:pPr>
                        <a:defRPr>
                          <a:solidFill>
                            <a:schemeClr val="tx1"/>
                          </a:solidFill>
                          <a:latin typeface="Segoe UI" panose="020B0502040204020203"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4307-452F-8355-B9DAB53C7570}"/>
                </c:ext>
              </c:extLst>
            </c:dLbl>
            <c:dLbl>
              <c:idx val="3"/>
              <c:delete val="1"/>
              <c:extLst>
                <c:ext xmlns:c15="http://schemas.microsoft.com/office/drawing/2012/chart" uri="{CE6537A1-D6FC-4f65-9D91-7224C49458BB}"/>
                <c:ext xmlns:c16="http://schemas.microsoft.com/office/drawing/2014/chart" uri="{C3380CC4-5D6E-409C-BE32-E72D297353CC}">
                  <c16:uniqueId val="{00000025-4307-452F-8355-B9DAB53C7570}"/>
                </c:ext>
              </c:extLst>
            </c:dLbl>
            <c:dLbl>
              <c:idx val="4"/>
              <c:delete val="1"/>
              <c:extLst>
                <c:ext xmlns:c15="http://schemas.microsoft.com/office/drawing/2012/chart" uri="{CE6537A1-D6FC-4f65-9D91-7224C49458BB}"/>
                <c:ext xmlns:c16="http://schemas.microsoft.com/office/drawing/2014/chart" uri="{C3380CC4-5D6E-409C-BE32-E72D297353CC}">
                  <c16:uniqueId val="{00000027-4307-452F-8355-B9DAB53C7570}"/>
                </c:ext>
              </c:extLst>
            </c:dLbl>
            <c:dLbl>
              <c:idx val="5"/>
              <c:tx>
                <c:rich>
                  <a:bodyPr/>
                  <a:lstStyle/>
                  <a:p>
                    <a:fld id="{9EAE6424-ACA6-4914-A87F-8C4BDB671A87}"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4307-452F-8355-B9DAB53C7570}"/>
                </c:ext>
              </c:extLst>
            </c:dLbl>
            <c:dLbl>
              <c:idx val="6"/>
              <c:delete val="1"/>
              <c:extLst>
                <c:ext xmlns:c15="http://schemas.microsoft.com/office/drawing/2012/chart" uri="{CE6537A1-D6FC-4f65-9D91-7224C49458BB}"/>
                <c:ext xmlns:c16="http://schemas.microsoft.com/office/drawing/2014/chart" uri="{C3380CC4-5D6E-409C-BE32-E72D297353CC}">
                  <c16:uniqueId val="{00000029-4307-452F-8355-B9DAB53C7570}"/>
                </c:ext>
              </c:extLst>
            </c:dLbl>
            <c:dLbl>
              <c:idx val="7"/>
              <c:delete val="1"/>
              <c:extLst>
                <c:ext xmlns:c15="http://schemas.microsoft.com/office/drawing/2012/chart" uri="{CE6537A1-D6FC-4f65-9D91-7224C49458BB}"/>
                <c:ext xmlns:c16="http://schemas.microsoft.com/office/drawing/2014/chart" uri="{C3380CC4-5D6E-409C-BE32-E72D297353CC}">
                  <c16:uniqueId val="{0000002A-4307-452F-8355-B9DAB53C75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Grafiekblad!$N$30:$N$37</c:f>
              <c:numCache>
                <c:formatCode>0%</c:formatCode>
                <c:ptCount val="8"/>
                <c:pt idx="2">
                  <c:v>0.25</c:v>
                </c:pt>
                <c:pt idx="3">
                  <c:v>0.25</c:v>
                </c:pt>
                <c:pt idx="4">
                  <c:v>0.25</c:v>
                </c:pt>
                <c:pt idx="5">
                  <c:v>0.25</c:v>
                </c:pt>
                <c:pt idx="6">
                  <c:v>0.25</c:v>
                </c:pt>
                <c:pt idx="7">
                  <c:v>0.25</c:v>
                </c:pt>
              </c:numCache>
            </c:numRef>
          </c:val>
          <c:extLst>
            <c:ext xmlns:c15="http://schemas.microsoft.com/office/drawing/2012/chart" uri="{02D57815-91ED-43cb-92C2-25804820EDAC}">
              <c15:datalabelsRange>
                <c15:f>Grafiekblad!$E$30:$E$37</c15:f>
                <c15:dlblRangeCache>
                  <c:ptCount val="8"/>
                  <c:pt idx="0">
                    <c:v> € -   </c:v>
                  </c:pt>
                  <c:pt idx="1">
                    <c:v> € -   </c:v>
                  </c:pt>
                  <c:pt idx="2">
                    <c:v> € 10.000 </c:v>
                  </c:pt>
                  <c:pt idx="3">
                    <c:v> € 10.000 </c:v>
                  </c:pt>
                  <c:pt idx="4">
                    <c:v> € 10.000 </c:v>
                  </c:pt>
                  <c:pt idx="5">
                    <c:v> € 10.000 </c:v>
                  </c:pt>
                  <c:pt idx="6">
                    <c:v> € 10.000 </c:v>
                  </c:pt>
                  <c:pt idx="7">
                    <c:v> € 10.000 </c:v>
                  </c:pt>
                </c15:dlblRangeCache>
              </c15:datalabelsRange>
            </c:ext>
            <c:ext xmlns:c16="http://schemas.microsoft.com/office/drawing/2014/chart" uri="{C3380CC4-5D6E-409C-BE32-E72D297353CC}">
              <c16:uniqueId val="{00000009-4307-452F-8355-B9DAB53C7570}"/>
            </c:ext>
          </c:extLst>
        </c:ser>
        <c:ser>
          <c:idx val="2"/>
          <c:order val="2"/>
          <c:tx>
            <c:strRef>
              <c:f>Grafiekblad!$O$29</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4307-452F-8355-B9DAB53C757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4307-452F-8355-B9DAB53C7570}"/>
                </c:ext>
              </c:extLst>
            </c:dLbl>
            <c:dLbl>
              <c:idx val="2"/>
              <c:tx>
                <c:rich>
                  <a:bodyPr/>
                  <a:lstStyle/>
                  <a:p>
                    <a:fld id="{26432990-D458-443E-B7E1-4EB8DA650D8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4307-452F-8355-B9DAB53C7570}"/>
                </c:ext>
              </c:extLst>
            </c:dLbl>
            <c:dLbl>
              <c:idx val="3"/>
              <c:delete val="1"/>
              <c:extLst>
                <c:ext xmlns:c15="http://schemas.microsoft.com/office/drawing/2012/chart" uri="{CE6537A1-D6FC-4f65-9D91-7224C49458BB}"/>
                <c:ext xmlns:c16="http://schemas.microsoft.com/office/drawing/2014/chart" uri="{C3380CC4-5D6E-409C-BE32-E72D297353CC}">
                  <c16:uniqueId val="{0000000D-4307-452F-8355-B9DAB53C7570}"/>
                </c:ext>
              </c:extLst>
            </c:dLbl>
            <c:dLbl>
              <c:idx val="4"/>
              <c:delete val="1"/>
              <c:extLst>
                <c:ext xmlns:c15="http://schemas.microsoft.com/office/drawing/2012/chart" uri="{CE6537A1-D6FC-4f65-9D91-7224C49458BB}"/>
                <c:ext xmlns:c16="http://schemas.microsoft.com/office/drawing/2014/chart" uri="{C3380CC4-5D6E-409C-BE32-E72D297353CC}">
                  <c16:uniqueId val="{0000000E-4307-452F-8355-B9DAB53C7570}"/>
                </c:ext>
              </c:extLst>
            </c:dLbl>
            <c:dLbl>
              <c:idx val="5"/>
              <c:tx>
                <c:rich>
                  <a:bodyPr/>
                  <a:lstStyle/>
                  <a:p>
                    <a:fld id="{9D85F2C6-11EC-4E1C-8266-DE62805B9B6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4307-452F-8355-B9DAB53C7570}"/>
                </c:ext>
              </c:extLst>
            </c:dLbl>
            <c:dLbl>
              <c:idx val="6"/>
              <c:delete val="1"/>
              <c:extLst>
                <c:ext xmlns:c15="http://schemas.microsoft.com/office/drawing/2012/chart" uri="{CE6537A1-D6FC-4f65-9D91-7224C49458BB}"/>
                <c:ext xmlns:c16="http://schemas.microsoft.com/office/drawing/2014/chart" uri="{C3380CC4-5D6E-409C-BE32-E72D297353CC}">
                  <c16:uniqueId val="{00000010-4307-452F-8355-B9DAB53C7570}"/>
                </c:ext>
              </c:extLst>
            </c:dLbl>
            <c:dLbl>
              <c:idx val="7"/>
              <c:delete val="1"/>
              <c:extLst>
                <c:ext xmlns:c15="http://schemas.microsoft.com/office/drawing/2012/chart" uri="{CE6537A1-D6FC-4f65-9D91-7224C49458BB}"/>
                <c:ext xmlns:c16="http://schemas.microsoft.com/office/drawing/2014/chart" uri="{C3380CC4-5D6E-409C-BE32-E72D297353CC}">
                  <c16:uniqueId val="{00000011-4307-452F-8355-B9DAB53C75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Grafiekblad!$K$30:$K$37</c:f>
              <c:strCache>
                <c:ptCount val="4"/>
                <c:pt idx="0">
                  <c:v>1e ziektejaar</c:v>
                </c:pt>
                <c:pt idx="1">
                  <c:v>2e ziektejaar</c:v>
                </c:pt>
                <c:pt idx="2">
                  <c:v>Vanaf 3e jaar (max. 24 maanden)</c:v>
                </c:pt>
                <c:pt idx="3">
                  <c:v>Tot AOW leeftijd</c:v>
                </c:pt>
              </c:strCache>
            </c:strRef>
          </c:cat>
          <c:val>
            <c:numRef>
              <c:f>Grafiekblad!$O$30:$O$37</c:f>
              <c:numCache>
                <c:formatCode>0%</c:formatCode>
                <c:ptCount val="8"/>
                <c:pt idx="2">
                  <c:v>0.52500000000000002</c:v>
                </c:pt>
                <c:pt idx="3">
                  <c:v>0.35</c:v>
                </c:pt>
                <c:pt idx="4">
                  <c:v>0.35</c:v>
                </c:pt>
                <c:pt idx="5">
                  <c:v>0.35</c:v>
                </c:pt>
                <c:pt idx="6">
                  <c:v>0.35</c:v>
                </c:pt>
                <c:pt idx="7">
                  <c:v>0.35</c:v>
                </c:pt>
              </c:numCache>
            </c:numRef>
          </c:val>
          <c:extLst>
            <c:ext xmlns:c15="http://schemas.microsoft.com/office/drawing/2012/chart" uri="{02D57815-91ED-43cb-92C2-25804820EDAC}">
              <c15:datalabelsRange>
                <c15:f>Grafiekblad!$F$30:$F$37</c15:f>
                <c15:dlblRangeCache>
                  <c:ptCount val="8"/>
                  <c:pt idx="0">
                    <c:v> € -   </c:v>
                  </c:pt>
                  <c:pt idx="1">
                    <c:v> € -   </c:v>
                  </c:pt>
                  <c:pt idx="2">
                    <c:v> € 21.000 </c:v>
                  </c:pt>
                  <c:pt idx="3">
                    <c:v> € 14.000 </c:v>
                  </c:pt>
                  <c:pt idx="4">
                    <c:v> € 14.000 </c:v>
                  </c:pt>
                  <c:pt idx="5">
                    <c:v> € 14.000 </c:v>
                  </c:pt>
                  <c:pt idx="6">
                    <c:v> € 14.000 </c:v>
                  </c:pt>
                  <c:pt idx="7">
                    <c:v> € 14.000 </c:v>
                  </c:pt>
                </c15:dlblRangeCache>
              </c15:datalabelsRange>
            </c:ext>
            <c:ext xmlns:c16="http://schemas.microsoft.com/office/drawing/2014/chart" uri="{C3380CC4-5D6E-409C-BE32-E72D297353CC}">
              <c16:uniqueId val="{00000012-4307-452F-8355-B9DAB53C7570}"/>
            </c:ext>
          </c:extLst>
        </c:ser>
        <c:ser>
          <c:idx val="3"/>
          <c:order val="3"/>
          <c:tx>
            <c:strRef>
              <c:f>Grafiekblad!$P$29</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4307-452F-8355-B9DAB53C757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4307-452F-8355-B9DAB53C7570}"/>
                </c:ext>
              </c:extLst>
            </c:dLbl>
            <c:dLbl>
              <c:idx val="2"/>
              <c:tx>
                <c:rich>
                  <a:bodyPr/>
                  <a:lstStyle/>
                  <a:p>
                    <a:fld id="{5722F718-68A8-4300-A67C-9BEA01F753D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4307-452F-8355-B9DAB53C7570}"/>
                </c:ext>
              </c:extLst>
            </c:dLbl>
            <c:dLbl>
              <c:idx val="3"/>
              <c:delete val="1"/>
              <c:extLst>
                <c:ext xmlns:c15="http://schemas.microsoft.com/office/drawing/2012/chart" uri="{CE6537A1-D6FC-4f65-9D91-7224C49458BB}"/>
                <c:ext xmlns:c16="http://schemas.microsoft.com/office/drawing/2014/chart" uri="{C3380CC4-5D6E-409C-BE32-E72D297353CC}">
                  <c16:uniqueId val="{00000016-4307-452F-8355-B9DAB53C7570}"/>
                </c:ext>
              </c:extLst>
            </c:dLbl>
            <c:dLbl>
              <c:idx val="4"/>
              <c:delete val="1"/>
              <c:extLst>
                <c:ext xmlns:c15="http://schemas.microsoft.com/office/drawing/2012/chart" uri="{CE6537A1-D6FC-4f65-9D91-7224C49458BB}"/>
                <c:ext xmlns:c16="http://schemas.microsoft.com/office/drawing/2014/chart" uri="{C3380CC4-5D6E-409C-BE32-E72D297353CC}">
                  <c16:uniqueId val="{00000017-4307-452F-8355-B9DAB53C7570}"/>
                </c:ext>
              </c:extLst>
            </c:dLbl>
            <c:dLbl>
              <c:idx val="5"/>
              <c:tx>
                <c:rich>
                  <a:bodyPr/>
                  <a:lstStyle/>
                  <a:p>
                    <a:fld id="{B815D65A-27E3-40F2-94D3-46B3FDA84BE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4307-452F-8355-B9DAB53C7570}"/>
                </c:ext>
              </c:extLst>
            </c:dLbl>
            <c:dLbl>
              <c:idx val="6"/>
              <c:delete val="1"/>
              <c:extLst>
                <c:ext xmlns:c15="http://schemas.microsoft.com/office/drawing/2012/chart" uri="{CE6537A1-D6FC-4f65-9D91-7224C49458BB}"/>
                <c:ext xmlns:c16="http://schemas.microsoft.com/office/drawing/2014/chart" uri="{C3380CC4-5D6E-409C-BE32-E72D297353CC}">
                  <c16:uniqueId val="{00000019-4307-452F-8355-B9DAB53C7570}"/>
                </c:ext>
              </c:extLst>
            </c:dLbl>
            <c:dLbl>
              <c:idx val="7"/>
              <c:delete val="1"/>
              <c:extLst>
                <c:ext xmlns:c15="http://schemas.microsoft.com/office/drawing/2012/chart" uri="{CE6537A1-D6FC-4f65-9D91-7224C49458BB}"/>
                <c:ext xmlns:c16="http://schemas.microsoft.com/office/drawing/2014/chart" uri="{C3380CC4-5D6E-409C-BE32-E72D297353CC}">
                  <c16:uniqueId val="{0000001A-4307-452F-8355-B9DAB53C75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Grafiekblad!$P$30:$P$37</c:f>
              <c:numCache>
                <c:formatCode>0%</c:formatCode>
                <c:ptCount val="8"/>
                <c:pt idx="2">
                  <c:v>0.05</c:v>
                </c:pt>
                <c:pt idx="3">
                  <c:v>0.22500000000000001</c:v>
                </c:pt>
                <c:pt idx="4">
                  <c:v>0.22500000000000001</c:v>
                </c:pt>
                <c:pt idx="5">
                  <c:v>0.22500000000000001</c:v>
                </c:pt>
                <c:pt idx="6">
                  <c:v>0.22500000000000001</c:v>
                </c:pt>
                <c:pt idx="7">
                  <c:v>0.22500000000000001</c:v>
                </c:pt>
              </c:numCache>
            </c:numRef>
          </c:val>
          <c:extLst>
            <c:ext xmlns:c15="http://schemas.microsoft.com/office/drawing/2012/chart" uri="{02D57815-91ED-43cb-92C2-25804820EDAC}">
              <c15:datalabelsRange>
                <c15:f>Grafiekblad!$G$30:$G$37</c15:f>
                <c15:dlblRangeCache>
                  <c:ptCount val="8"/>
                  <c:pt idx="0">
                    <c:v> € -   </c:v>
                  </c:pt>
                  <c:pt idx="1">
                    <c:v> € -   </c:v>
                  </c:pt>
                  <c:pt idx="2">
                    <c:v> € 2.000 </c:v>
                  </c:pt>
                  <c:pt idx="3">
                    <c:v> € 9.000 </c:v>
                  </c:pt>
                  <c:pt idx="4">
                    <c:v> € 9.000 </c:v>
                  </c:pt>
                  <c:pt idx="5">
                    <c:v> € 9.000 </c:v>
                  </c:pt>
                  <c:pt idx="6">
                    <c:v> € 9.000 </c:v>
                  </c:pt>
                  <c:pt idx="7">
                    <c:v> € 9.000 </c:v>
                  </c:pt>
                </c15:dlblRangeCache>
              </c15:datalabelsRange>
            </c:ext>
            <c:ext xmlns:c16="http://schemas.microsoft.com/office/drawing/2014/chart" uri="{C3380CC4-5D6E-409C-BE32-E72D297353CC}">
              <c16:uniqueId val="{0000001B-4307-452F-8355-B9DAB53C7570}"/>
            </c:ext>
          </c:extLst>
        </c:ser>
        <c:ser>
          <c:idx val="4"/>
          <c:order val="4"/>
          <c:tx>
            <c:strRef>
              <c:f>Grafiekblad!$Q$29</c:f>
              <c:strCache>
                <c:ptCount val="1"/>
              </c:strCache>
            </c:strRef>
          </c:tx>
          <c:spPr>
            <a:solidFill>
              <a:srgbClr val="B75F1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4307-452F-8355-B9DAB53C757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4307-452F-8355-B9DAB53C7570}"/>
                </c:ext>
              </c:extLst>
            </c:dLbl>
            <c:dLbl>
              <c:idx val="2"/>
              <c:tx>
                <c:rich>
                  <a:bodyPr/>
                  <a:lstStyle/>
                  <a:p>
                    <a:fld id="{47B83769-BA13-4154-956C-6F5A5C6F654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4307-452F-8355-B9DAB53C7570}"/>
                </c:ext>
              </c:extLst>
            </c:dLbl>
            <c:dLbl>
              <c:idx val="3"/>
              <c:delete val="1"/>
              <c:extLst>
                <c:ext xmlns:c15="http://schemas.microsoft.com/office/drawing/2012/chart" uri="{CE6537A1-D6FC-4f65-9D91-7224C49458BB}"/>
                <c:ext xmlns:c16="http://schemas.microsoft.com/office/drawing/2014/chart" uri="{C3380CC4-5D6E-409C-BE32-E72D297353CC}">
                  <c16:uniqueId val="{0000001F-4307-452F-8355-B9DAB53C7570}"/>
                </c:ext>
              </c:extLst>
            </c:dLbl>
            <c:dLbl>
              <c:idx val="4"/>
              <c:delete val="1"/>
              <c:extLst>
                <c:ext xmlns:c15="http://schemas.microsoft.com/office/drawing/2012/chart" uri="{CE6537A1-D6FC-4f65-9D91-7224C49458BB}"/>
                <c:ext xmlns:c16="http://schemas.microsoft.com/office/drawing/2014/chart" uri="{C3380CC4-5D6E-409C-BE32-E72D297353CC}">
                  <c16:uniqueId val="{00000020-4307-452F-8355-B9DAB53C7570}"/>
                </c:ext>
              </c:extLst>
            </c:dLbl>
            <c:dLbl>
              <c:idx val="5"/>
              <c:tx>
                <c:rich>
                  <a:bodyPr/>
                  <a:lstStyle/>
                  <a:p>
                    <a:fld id="{4E406972-5DED-40E1-8E87-5E846784070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4307-452F-8355-B9DAB53C7570}"/>
                </c:ext>
              </c:extLst>
            </c:dLbl>
            <c:dLbl>
              <c:idx val="6"/>
              <c:delete val="1"/>
              <c:extLst>
                <c:ext xmlns:c15="http://schemas.microsoft.com/office/drawing/2012/chart" uri="{CE6537A1-D6FC-4f65-9D91-7224C49458BB}"/>
                <c:ext xmlns:c16="http://schemas.microsoft.com/office/drawing/2014/chart" uri="{C3380CC4-5D6E-409C-BE32-E72D297353CC}">
                  <c16:uniqueId val="{00000022-4307-452F-8355-B9DAB53C7570}"/>
                </c:ext>
              </c:extLst>
            </c:dLbl>
            <c:dLbl>
              <c:idx val="7"/>
              <c:delete val="1"/>
              <c:extLst>
                <c:ext xmlns:c15="http://schemas.microsoft.com/office/drawing/2012/chart" uri="{CE6537A1-D6FC-4f65-9D91-7224C49458BB}"/>
                <c:ext xmlns:c16="http://schemas.microsoft.com/office/drawing/2014/chart" uri="{C3380CC4-5D6E-409C-BE32-E72D297353CC}">
                  <c16:uniqueId val="{00000023-4307-452F-8355-B9DAB53C75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Grafiekblad!$K$30:$K$37</c:f>
              <c:strCache>
                <c:ptCount val="4"/>
                <c:pt idx="0">
                  <c:v>1e ziektejaar</c:v>
                </c:pt>
                <c:pt idx="1">
                  <c:v>2e ziektejaar</c:v>
                </c:pt>
                <c:pt idx="2">
                  <c:v>Vanaf 3e jaar (max. 24 maanden)</c:v>
                </c:pt>
                <c:pt idx="3">
                  <c:v>Tot AOW leeftijd</c:v>
                </c:pt>
              </c:strCache>
            </c:strRef>
          </c:cat>
          <c:val>
            <c:numRef>
              <c:f>Grafiekblad!$Q$30:$Q$37</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Grafiekblad!$H$30:$H$37</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4-4307-452F-8355-B9DAB53C7570}"/>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Grafiekblad!$L$50</c:f>
              <c:strCache>
                <c:ptCount val="1"/>
                <c:pt idx="0">
                  <c:v>Loondoorbetaling bij ziekte</c:v>
                </c:pt>
              </c:strCache>
            </c:strRef>
          </c:tx>
          <c:spPr>
            <a:solidFill>
              <a:srgbClr val="008295"/>
            </a:solidFill>
            <a:ln>
              <a:noFill/>
            </a:ln>
            <a:effectLst/>
          </c:spPr>
          <c:invertIfNegative val="0"/>
          <c:dLbls>
            <c:dLbl>
              <c:idx val="0"/>
              <c:tx>
                <c:rich>
                  <a:bodyPr/>
                  <a:lstStyle/>
                  <a:p>
                    <a:fld id="{C7F98D23-EF18-47F2-91DA-476FF27171D7}"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4B58-46D6-B8B0-145592BC5546}"/>
                </c:ext>
              </c:extLst>
            </c:dLbl>
            <c:dLbl>
              <c:idx val="1"/>
              <c:tx>
                <c:rich>
                  <a:bodyPr/>
                  <a:lstStyle/>
                  <a:p>
                    <a:fld id="{475FDD75-BB9E-444D-B28C-AAC9736D824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4B58-46D6-B8B0-145592BC5546}"/>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4B58-46D6-B8B0-145592BC5546}"/>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4B58-46D6-B8B0-145592BC5546}"/>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4B58-46D6-B8B0-145592BC5546}"/>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4B58-46D6-B8B0-145592BC5546}"/>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4B58-46D6-B8B0-145592BC5546}"/>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4B58-46D6-B8B0-145592BC55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Grafiekblad!$L$51:$L$58</c:f>
              <c:numCache>
                <c:formatCode>0%</c:formatCode>
                <c:ptCount val="8"/>
                <c:pt idx="0">
                  <c:v>1</c:v>
                </c:pt>
                <c:pt idx="1">
                  <c:v>0.7</c:v>
                </c:pt>
              </c:numCache>
            </c:numRef>
          </c:val>
          <c:extLst>
            <c:ext xmlns:c15="http://schemas.microsoft.com/office/drawing/2012/chart" uri="{02D57815-91ED-43cb-92C2-25804820EDAC}">
              <c15:datalabelsRange>
                <c15:f>Grafiekblad!$C$30:$C$31</c15:f>
                <c15:dlblRangeCache>
                  <c:ptCount val="2"/>
                  <c:pt idx="0">
                    <c:v> € 40.000 </c:v>
                  </c:pt>
                  <c:pt idx="1">
                    <c:v> € 28.000 </c:v>
                  </c:pt>
                </c15:dlblRangeCache>
              </c15:datalabelsRange>
            </c:ext>
            <c:ext xmlns:c16="http://schemas.microsoft.com/office/drawing/2014/chart" uri="{C3380CC4-5D6E-409C-BE32-E72D297353CC}">
              <c16:uniqueId val="{00000008-4B58-46D6-B8B0-145592BC5546}"/>
            </c:ext>
          </c:extLst>
        </c:ser>
        <c:ser>
          <c:idx val="1"/>
          <c:order val="1"/>
          <c:tx>
            <c:strRef>
              <c:f>Grafiekblad!$N$50</c:f>
              <c:strCache>
                <c:ptCount val="1"/>
                <c:pt idx="0">
                  <c:v>Nieuw loon</c:v>
                </c:pt>
              </c:strCache>
            </c:strRef>
          </c:tx>
          <c:spPr>
            <a:solidFill>
              <a:schemeClr val="accent2"/>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Grafiekblad!$N$51:$N$58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1-4B58-46D6-B8B0-145592BC5546}"/>
            </c:ext>
          </c:extLst>
        </c:ser>
        <c:ser>
          <c:idx val="2"/>
          <c:order val="2"/>
          <c:tx>
            <c:strRef>
              <c:f>Grafiekblad!$O$50</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4B58-46D6-B8B0-145592BC5546}"/>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4B58-46D6-B8B0-145592BC5546}"/>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fld id="{6155EB2B-2F80-4091-B574-D0E7D94DE73F}" type="CELLRANGE">
                      <a:rPr lang="nl-NL"/>
                      <a:pPr>
                        <a:defRPr>
                          <a:solidFill>
                            <a:schemeClr val="bg1"/>
                          </a:solidFill>
                          <a:latin typeface="Segoe UI" panose="020B0502040204020203" pitchFamily="34" charset="0"/>
                          <a:ea typeface="Open Sans" panose="020B0606030504020204"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4B58-46D6-B8B0-145592BC5546}"/>
                </c:ext>
              </c:extLst>
            </c:dLbl>
            <c:dLbl>
              <c:idx val="3"/>
              <c:delete val="1"/>
              <c:extLst>
                <c:ext xmlns:c15="http://schemas.microsoft.com/office/drawing/2012/chart" uri="{CE6537A1-D6FC-4f65-9D91-7224C49458BB}"/>
                <c:ext xmlns:c16="http://schemas.microsoft.com/office/drawing/2014/chart" uri="{C3380CC4-5D6E-409C-BE32-E72D297353CC}">
                  <c16:uniqueId val="{00000015-4B58-46D6-B8B0-145592BC5546}"/>
                </c:ext>
              </c:extLst>
            </c:dLbl>
            <c:dLbl>
              <c:idx val="4"/>
              <c:delete val="1"/>
              <c:extLst>
                <c:ext xmlns:c15="http://schemas.microsoft.com/office/drawing/2012/chart" uri="{CE6537A1-D6FC-4f65-9D91-7224C49458BB}"/>
                <c:ext xmlns:c16="http://schemas.microsoft.com/office/drawing/2014/chart" uri="{C3380CC4-5D6E-409C-BE32-E72D297353CC}">
                  <c16:uniqueId val="{00000016-4B58-46D6-B8B0-145592BC5546}"/>
                </c:ext>
              </c:extLst>
            </c:dLbl>
            <c:dLbl>
              <c:idx val="5"/>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fld id="{91ACEB60-AE17-4C59-BB24-F1B9C6147BE0}" type="CELLRANGE">
                      <a:rPr lang="nl-NL"/>
                      <a:pPr>
                        <a:defRPr>
                          <a:solidFill>
                            <a:schemeClr val="bg1"/>
                          </a:solidFill>
                          <a:latin typeface="Segoe UI" panose="020B0502040204020203" pitchFamily="34" charset="0"/>
                          <a:ea typeface="Open Sans" panose="020B0606030504020204"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4B58-46D6-B8B0-145592BC5546}"/>
                </c:ext>
              </c:extLst>
            </c:dLbl>
            <c:dLbl>
              <c:idx val="6"/>
              <c:delete val="1"/>
              <c:extLst>
                <c:ext xmlns:c15="http://schemas.microsoft.com/office/drawing/2012/chart" uri="{CE6537A1-D6FC-4f65-9D91-7224C49458BB}"/>
                <c:ext xmlns:c16="http://schemas.microsoft.com/office/drawing/2014/chart" uri="{C3380CC4-5D6E-409C-BE32-E72D297353CC}">
                  <c16:uniqueId val="{00000018-4B58-46D6-B8B0-145592BC5546}"/>
                </c:ext>
              </c:extLst>
            </c:dLbl>
            <c:dLbl>
              <c:idx val="7"/>
              <c:delete val="1"/>
              <c:extLst>
                <c:ext xmlns:c15="http://schemas.microsoft.com/office/drawing/2012/chart" uri="{CE6537A1-D6FC-4f65-9D91-7224C49458BB}"/>
                <c:ext xmlns:c16="http://schemas.microsoft.com/office/drawing/2014/chart" uri="{C3380CC4-5D6E-409C-BE32-E72D297353CC}">
                  <c16:uniqueId val="{00000019-4B58-46D6-B8B0-145592BC55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Grafiekblad!$O$51:$O$58</c:f>
              <c:numCache>
                <c:formatCode>0%</c:formatCode>
                <c:ptCount val="8"/>
                <c:pt idx="2">
                  <c:v>0.7</c:v>
                </c:pt>
                <c:pt idx="3">
                  <c:v>0.7</c:v>
                </c:pt>
                <c:pt idx="4">
                  <c:v>0.7</c:v>
                </c:pt>
                <c:pt idx="5">
                  <c:v>0.7</c:v>
                </c:pt>
                <c:pt idx="6">
                  <c:v>0.7</c:v>
                </c:pt>
                <c:pt idx="7">
                  <c:v>0.7</c:v>
                </c:pt>
              </c:numCache>
            </c:numRef>
          </c:val>
          <c:extLst>
            <c:ext xmlns:c15="http://schemas.microsoft.com/office/drawing/2012/chart" uri="{02D57815-91ED-43cb-92C2-25804820EDAC}">
              <c15:datalabelsRange>
                <c15:f>Grafiekblad!$F$51:$F$58</c15:f>
                <c15:dlblRangeCache>
                  <c:ptCount val="8"/>
                  <c:pt idx="0">
                    <c:v> € -   </c:v>
                  </c:pt>
                  <c:pt idx="1">
                    <c:v> € -   </c:v>
                  </c:pt>
                  <c:pt idx="2">
                    <c:v> € 28.000 </c:v>
                  </c:pt>
                  <c:pt idx="3">
                    <c:v> € 28.000 </c:v>
                  </c:pt>
                  <c:pt idx="4">
                    <c:v> € 28.000 </c:v>
                  </c:pt>
                  <c:pt idx="5">
                    <c:v> € 28.000 </c:v>
                  </c:pt>
                  <c:pt idx="6">
                    <c:v> € 28.000 </c:v>
                  </c:pt>
                  <c:pt idx="7">
                    <c:v> € 28.000 </c:v>
                  </c:pt>
                </c15:dlblRangeCache>
              </c15:datalabelsRange>
            </c:ext>
            <c:ext xmlns:c16="http://schemas.microsoft.com/office/drawing/2014/chart" uri="{C3380CC4-5D6E-409C-BE32-E72D297353CC}">
              <c16:uniqueId val="{0000001A-4B58-46D6-B8B0-145592BC5546}"/>
            </c:ext>
          </c:extLst>
        </c:ser>
        <c:ser>
          <c:idx val="3"/>
          <c:order val="3"/>
          <c:tx>
            <c:strRef>
              <c:f>Grafiekblad!$P$50</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4B58-46D6-B8B0-145592BC5546}"/>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4B58-46D6-B8B0-145592BC5546}"/>
                </c:ext>
              </c:extLst>
            </c:dLbl>
            <c:dLbl>
              <c:idx val="2"/>
              <c:tx>
                <c:rich>
                  <a:bodyPr/>
                  <a:lstStyle/>
                  <a:p>
                    <a:fld id="{DF94D3F8-4A11-463E-8692-DA09CA0A06B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4B58-46D6-B8B0-145592BC5546}"/>
                </c:ext>
              </c:extLst>
            </c:dLbl>
            <c:dLbl>
              <c:idx val="3"/>
              <c:delete val="1"/>
              <c:extLst>
                <c:ext xmlns:c15="http://schemas.microsoft.com/office/drawing/2012/chart" uri="{CE6537A1-D6FC-4f65-9D91-7224C49458BB}"/>
                <c:ext xmlns:c16="http://schemas.microsoft.com/office/drawing/2014/chart" uri="{C3380CC4-5D6E-409C-BE32-E72D297353CC}">
                  <c16:uniqueId val="{0000001E-4B58-46D6-B8B0-145592BC5546}"/>
                </c:ext>
              </c:extLst>
            </c:dLbl>
            <c:dLbl>
              <c:idx val="4"/>
              <c:delete val="1"/>
              <c:extLst>
                <c:ext xmlns:c15="http://schemas.microsoft.com/office/drawing/2012/chart" uri="{CE6537A1-D6FC-4f65-9D91-7224C49458BB}"/>
                <c:ext xmlns:c16="http://schemas.microsoft.com/office/drawing/2014/chart" uri="{C3380CC4-5D6E-409C-BE32-E72D297353CC}">
                  <c16:uniqueId val="{0000001F-4B58-46D6-B8B0-145592BC5546}"/>
                </c:ext>
              </c:extLst>
            </c:dLbl>
            <c:dLbl>
              <c:idx val="5"/>
              <c:tx>
                <c:rich>
                  <a:bodyPr/>
                  <a:lstStyle/>
                  <a:p>
                    <a:fld id="{5D7BBC8A-8DE6-4533-97C8-6CB38BE8B3F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4B58-46D6-B8B0-145592BC5546}"/>
                </c:ext>
              </c:extLst>
            </c:dLbl>
            <c:dLbl>
              <c:idx val="6"/>
              <c:delete val="1"/>
              <c:extLst>
                <c:ext xmlns:c15="http://schemas.microsoft.com/office/drawing/2012/chart" uri="{CE6537A1-D6FC-4f65-9D91-7224C49458BB}"/>
                <c:ext xmlns:c16="http://schemas.microsoft.com/office/drawing/2014/chart" uri="{C3380CC4-5D6E-409C-BE32-E72D297353CC}">
                  <c16:uniqueId val="{00000021-4B58-46D6-B8B0-145592BC5546}"/>
                </c:ext>
              </c:extLst>
            </c:dLbl>
            <c:dLbl>
              <c:idx val="7"/>
              <c:delete val="1"/>
              <c:extLst>
                <c:ext xmlns:c15="http://schemas.microsoft.com/office/drawing/2012/chart" uri="{CE6537A1-D6FC-4f65-9D91-7224C49458BB}"/>
                <c:ext xmlns:c16="http://schemas.microsoft.com/office/drawing/2014/chart" uri="{C3380CC4-5D6E-409C-BE32-E72D297353CC}">
                  <c16:uniqueId val="{00000022-4B58-46D6-B8B0-145592BC55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Grafiekblad!$P$51:$P$58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Grafiekblad!$G$51:$G$58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3-4B58-46D6-B8B0-145592BC5546}"/>
            </c:ext>
          </c:extLst>
        </c:ser>
        <c:ser>
          <c:idx val="4"/>
          <c:order val="4"/>
          <c:tx>
            <c:strRef>
              <c:f>Grafiekblad!$Q$50</c:f>
              <c:strCache>
                <c:ptCount val="1"/>
              </c:strCache>
            </c:strRef>
          </c:tx>
          <c:spPr>
            <a:solidFill>
              <a:schemeClr val="accent2">
                <a:lumMod val="7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3537-4B94-B717-34FE6BABD582}"/>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3537-4B94-B717-34FE6BABD582}"/>
                </c:ext>
              </c:extLst>
            </c:dLbl>
            <c:dLbl>
              <c:idx val="2"/>
              <c:tx>
                <c:rich>
                  <a:bodyPr/>
                  <a:lstStyle/>
                  <a:p>
                    <a:fld id="{8F54EE8B-5B76-4E31-AAE2-A2725B9791F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537-4B94-B717-34FE6BABD582}"/>
                </c:ext>
              </c:extLst>
            </c:dLbl>
            <c:dLbl>
              <c:idx val="3"/>
              <c:delete val="1"/>
              <c:extLst>
                <c:ext xmlns:c15="http://schemas.microsoft.com/office/drawing/2012/chart" uri="{CE6537A1-D6FC-4f65-9D91-7224C49458BB}"/>
                <c:ext xmlns:c16="http://schemas.microsoft.com/office/drawing/2014/chart" uri="{C3380CC4-5D6E-409C-BE32-E72D297353CC}">
                  <c16:uniqueId val="{00000000-3537-4B94-B717-34FE6BABD582}"/>
                </c:ext>
              </c:extLst>
            </c:dLbl>
            <c:dLbl>
              <c:idx val="4"/>
              <c:delete val="1"/>
              <c:extLst>
                <c:ext xmlns:c15="http://schemas.microsoft.com/office/drawing/2012/chart" uri="{CE6537A1-D6FC-4f65-9D91-7224C49458BB}"/>
                <c:ext xmlns:c16="http://schemas.microsoft.com/office/drawing/2014/chart" uri="{C3380CC4-5D6E-409C-BE32-E72D297353CC}">
                  <c16:uniqueId val="{00000001-3537-4B94-B717-34FE6BABD582}"/>
                </c:ext>
              </c:extLst>
            </c:dLbl>
            <c:dLbl>
              <c:idx val="5"/>
              <c:tx>
                <c:rich>
                  <a:bodyPr/>
                  <a:lstStyle/>
                  <a:p>
                    <a:fld id="{6F3101F7-B606-423A-A2F0-35D939F589B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537-4B94-B717-34FE6BABD582}"/>
                </c:ext>
              </c:extLst>
            </c:dLbl>
            <c:dLbl>
              <c:idx val="6"/>
              <c:delete val="1"/>
              <c:extLst>
                <c:ext xmlns:c15="http://schemas.microsoft.com/office/drawing/2012/chart" uri="{CE6537A1-D6FC-4f65-9D91-7224C49458BB}"/>
                <c:ext xmlns:c16="http://schemas.microsoft.com/office/drawing/2014/chart" uri="{C3380CC4-5D6E-409C-BE32-E72D297353CC}">
                  <c16:uniqueId val="{00000002-3537-4B94-B717-34FE6BABD582}"/>
                </c:ext>
              </c:extLst>
            </c:dLbl>
            <c:dLbl>
              <c:idx val="7"/>
              <c:delete val="1"/>
              <c:extLst>
                <c:ext xmlns:c15="http://schemas.microsoft.com/office/drawing/2012/chart" uri="{CE6537A1-D6FC-4f65-9D91-7224C49458BB}"/>
                <c:ext xmlns:c16="http://schemas.microsoft.com/office/drawing/2014/chart" uri="{C3380CC4-5D6E-409C-BE32-E72D297353CC}">
                  <c16:uniqueId val="{00000003-3537-4B94-B717-34FE6BABD5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Grafiekblad!$Q$51:$Q$58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Grafiekblad!$H$51:$H$58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C-4B58-46D6-B8B0-145592BC5546}"/>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rgbClr val="008295"/>
            </a:solidFill>
            <a:ln>
              <a:noFill/>
            </a:ln>
            <a:effectLst/>
          </c:spPr>
          <c:invertIfNegative val="0"/>
          <c:dLbls>
            <c:dLbl>
              <c:idx val="0"/>
              <c:tx>
                <c:rich>
                  <a:bodyPr/>
                  <a:lstStyle/>
                  <a:p>
                    <a:fld id="{0729D29F-0556-4D6F-BE7B-2186A02B930F}"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9E0-4CF4-9786-D74357143364}"/>
                </c:ext>
              </c:extLst>
            </c:dLbl>
            <c:dLbl>
              <c:idx val="1"/>
              <c:tx>
                <c:rich>
                  <a:bodyPr/>
                  <a:lstStyle/>
                  <a:p>
                    <a:fld id="{2C47CA26-7F55-4F08-8244-4CF1A05A5AAE}"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39E0-4CF4-9786-D74357143364}"/>
                </c:ext>
              </c:extLst>
            </c:dLbl>
            <c:dLbl>
              <c:idx val="2"/>
              <c:delete val="1"/>
              <c:extLst>
                <c:ext xmlns:c15="http://schemas.microsoft.com/office/drawing/2012/chart" uri="{CE6537A1-D6FC-4f65-9D91-7224C49458BB}"/>
                <c:ext xmlns:c16="http://schemas.microsoft.com/office/drawing/2014/chart" uri="{C3380CC4-5D6E-409C-BE32-E72D297353CC}">
                  <c16:uniqueId val="{00000002-39E0-4CF4-9786-D74357143364}"/>
                </c:ext>
              </c:extLst>
            </c:dLbl>
            <c:dLbl>
              <c:idx val="3"/>
              <c:delete val="1"/>
              <c:extLst>
                <c:ext xmlns:c15="http://schemas.microsoft.com/office/drawing/2012/chart" uri="{CE6537A1-D6FC-4f65-9D91-7224C49458BB}"/>
                <c:ext xmlns:c16="http://schemas.microsoft.com/office/drawing/2014/chart" uri="{C3380CC4-5D6E-409C-BE32-E72D297353CC}">
                  <c16:uniqueId val="{00000003-39E0-4CF4-9786-D74357143364}"/>
                </c:ext>
              </c:extLst>
            </c:dLbl>
            <c:dLbl>
              <c:idx val="4"/>
              <c:delete val="1"/>
              <c:extLst>
                <c:ext xmlns:c15="http://schemas.microsoft.com/office/drawing/2012/chart" uri="{CE6537A1-D6FC-4f65-9D91-7224C49458BB}"/>
                <c:ext xmlns:c16="http://schemas.microsoft.com/office/drawing/2014/chart" uri="{C3380CC4-5D6E-409C-BE32-E72D297353CC}">
                  <c16:uniqueId val="{00000004-39E0-4CF4-9786-D74357143364}"/>
                </c:ext>
              </c:extLst>
            </c:dLbl>
            <c:dLbl>
              <c:idx val="5"/>
              <c:delete val="1"/>
              <c:extLst>
                <c:ext xmlns:c15="http://schemas.microsoft.com/office/drawing/2012/chart" uri="{CE6537A1-D6FC-4f65-9D91-7224C49458BB}"/>
                <c:ext xmlns:c16="http://schemas.microsoft.com/office/drawing/2014/chart" uri="{C3380CC4-5D6E-409C-BE32-E72D297353CC}">
                  <c16:uniqueId val="{00000005-39E0-4CF4-9786-D74357143364}"/>
                </c:ext>
              </c:extLst>
            </c:dLbl>
            <c:dLbl>
              <c:idx val="6"/>
              <c:delete val="1"/>
              <c:extLst>
                <c:ext xmlns:c15="http://schemas.microsoft.com/office/drawing/2012/chart" uri="{CE6537A1-D6FC-4f65-9D91-7224C49458BB}"/>
                <c:ext xmlns:c16="http://schemas.microsoft.com/office/drawing/2014/chart" uri="{C3380CC4-5D6E-409C-BE32-E72D297353CC}">
                  <c16:uniqueId val="{00000006-39E0-4CF4-9786-D74357143364}"/>
                </c:ext>
              </c:extLst>
            </c:dLbl>
            <c:dLbl>
              <c:idx val="7"/>
              <c:delete val="1"/>
              <c:extLst>
                <c:ext xmlns:c15="http://schemas.microsoft.com/office/drawing/2012/chart" uri="{CE6537A1-D6FC-4f65-9D91-7224C49458BB}"/>
                <c:ext xmlns:c16="http://schemas.microsoft.com/office/drawing/2014/chart" uri="{C3380CC4-5D6E-409C-BE32-E72D297353CC}">
                  <c16:uniqueId val="{00000007-39E0-4CF4-9786-D74357143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Grafiekblad!$L$9:$L$16</c:f>
              <c:numCache>
                <c:formatCode>0%</c:formatCode>
                <c:ptCount val="8"/>
                <c:pt idx="0">
                  <c:v>1</c:v>
                </c:pt>
                <c:pt idx="1">
                  <c:v>0.7</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39E0-4CF4-9786-D74357143364}"/>
            </c:ext>
          </c:extLst>
        </c:ser>
        <c:ser>
          <c:idx val="1"/>
          <c:order val="1"/>
          <c:tx>
            <c:strRef>
              <c:f>Grafiekblad!$N$8</c:f>
              <c:strCache>
                <c:ptCount val="1"/>
                <c:pt idx="0">
                  <c:v>Nieuw loon</c:v>
                </c:pt>
              </c:strCache>
            </c:strRef>
          </c:tx>
          <c:spPr>
            <a:solidFill>
              <a:srgbClr val="BCCEDB"/>
            </a:solidFill>
            <a:ln>
              <a:noFill/>
            </a:ln>
            <a:effectLst/>
          </c:spPr>
          <c:invertIfNegative val="0"/>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Grafiekblad!$N$9:$N$16</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09-39E0-4CF4-9786-D74357143364}"/>
            </c:ext>
          </c:extLst>
        </c:ser>
        <c:ser>
          <c:idx val="2"/>
          <c:order val="2"/>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39E0-4CF4-9786-D7435714336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39E0-4CF4-9786-D74357143364}"/>
                </c:ext>
              </c:extLst>
            </c:dLbl>
            <c:dLbl>
              <c:idx val="2"/>
              <c:tx>
                <c:rich>
                  <a:bodyPr/>
                  <a:lstStyle/>
                  <a:p>
                    <a:fld id="{C9B55B18-25D9-4EC7-9623-4E0E25B9DDC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39E0-4CF4-9786-D74357143364}"/>
                </c:ext>
              </c:extLst>
            </c:dLbl>
            <c:dLbl>
              <c:idx val="3"/>
              <c:delete val="1"/>
              <c:extLst>
                <c:ext xmlns:c15="http://schemas.microsoft.com/office/drawing/2012/chart" uri="{CE6537A1-D6FC-4f65-9D91-7224C49458BB}"/>
                <c:ext xmlns:c16="http://schemas.microsoft.com/office/drawing/2014/chart" uri="{C3380CC4-5D6E-409C-BE32-E72D297353CC}">
                  <c16:uniqueId val="{0000000D-39E0-4CF4-9786-D74357143364}"/>
                </c:ext>
              </c:extLst>
            </c:dLbl>
            <c:dLbl>
              <c:idx val="4"/>
              <c:delete val="1"/>
              <c:extLst>
                <c:ext xmlns:c15="http://schemas.microsoft.com/office/drawing/2012/chart" uri="{CE6537A1-D6FC-4f65-9D91-7224C49458BB}"/>
                <c:ext xmlns:c16="http://schemas.microsoft.com/office/drawing/2014/chart" uri="{C3380CC4-5D6E-409C-BE32-E72D297353CC}">
                  <c16:uniqueId val="{0000000E-39E0-4CF4-9786-D74357143364}"/>
                </c:ext>
              </c:extLst>
            </c:dLbl>
            <c:dLbl>
              <c:idx val="5"/>
              <c:tx>
                <c:rich>
                  <a:bodyPr/>
                  <a:lstStyle/>
                  <a:p>
                    <a:fld id="{3B28FB3C-418D-49E4-BD9B-C6B853CB206C}"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39E0-4CF4-9786-D74357143364}"/>
                </c:ext>
              </c:extLst>
            </c:dLbl>
            <c:dLbl>
              <c:idx val="6"/>
              <c:delete val="1"/>
              <c:extLst>
                <c:ext xmlns:c15="http://schemas.microsoft.com/office/drawing/2012/chart" uri="{CE6537A1-D6FC-4f65-9D91-7224C49458BB}"/>
                <c:ext xmlns:c16="http://schemas.microsoft.com/office/drawing/2014/chart" uri="{C3380CC4-5D6E-409C-BE32-E72D297353CC}">
                  <c16:uniqueId val="{00000010-39E0-4CF4-9786-D74357143364}"/>
                </c:ext>
              </c:extLst>
            </c:dLbl>
            <c:dLbl>
              <c:idx val="7"/>
              <c:delete val="1"/>
              <c:extLst>
                <c:ext xmlns:c15="http://schemas.microsoft.com/office/drawing/2012/chart" uri="{CE6537A1-D6FC-4f65-9D91-7224C49458BB}"/>
                <c:ext xmlns:c16="http://schemas.microsoft.com/office/drawing/2014/chart" uri="{C3380CC4-5D6E-409C-BE32-E72D297353CC}">
                  <c16:uniqueId val="{00000011-39E0-4CF4-9786-D74357143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Grafiekblad!$O$9:$O$16</c:f>
              <c:numCache>
                <c:formatCode>0%</c:formatCode>
                <c:ptCount val="8"/>
                <c:pt idx="2">
                  <c:v>0.7</c:v>
                </c:pt>
                <c:pt idx="3">
                  <c:v>0.24855249999999995</c:v>
                </c:pt>
                <c:pt idx="4">
                  <c:v>0.24855249999999995</c:v>
                </c:pt>
                <c:pt idx="5">
                  <c:v>0.24855249999999995</c:v>
                </c:pt>
                <c:pt idx="6">
                  <c:v>0.24855249999999995</c:v>
                </c:pt>
                <c:pt idx="7">
                  <c:v>0.24855249999999995</c:v>
                </c:pt>
              </c:numCache>
            </c:numRef>
          </c:val>
          <c:extLst>
            <c:ext xmlns:c15="http://schemas.microsoft.com/office/drawing/2012/chart" uri="{02D57815-91ED-43cb-92C2-25804820EDAC}">
              <c15:datalabelsRange>
                <c15:f>Grafiekblad!$F$9:$F$16</c15:f>
                <c15:dlblRangeCache>
                  <c:ptCount val="8"/>
                  <c:pt idx="0">
                    <c:v> € -   </c:v>
                  </c:pt>
                  <c:pt idx="1">
                    <c:v> € -   </c:v>
                  </c:pt>
                  <c:pt idx="2">
                    <c:v> € 28.000 </c:v>
                  </c:pt>
                  <c:pt idx="3">
                    <c:v> € 9.942 </c:v>
                  </c:pt>
                  <c:pt idx="4">
                    <c:v> € 9.942 </c:v>
                  </c:pt>
                  <c:pt idx="5">
                    <c:v> € 9.942 </c:v>
                  </c:pt>
                  <c:pt idx="6">
                    <c:v> € 9.942 </c:v>
                  </c:pt>
                  <c:pt idx="7">
                    <c:v> € 9.942 </c:v>
                  </c:pt>
                </c15:dlblRangeCache>
              </c15:datalabelsRange>
            </c:ext>
            <c:ext xmlns:c16="http://schemas.microsoft.com/office/drawing/2014/chart" uri="{C3380CC4-5D6E-409C-BE32-E72D297353CC}">
              <c16:uniqueId val="{00000012-39E0-4CF4-9786-D74357143364}"/>
            </c:ext>
          </c:extLst>
        </c:ser>
        <c:ser>
          <c:idx val="3"/>
          <c:order val="3"/>
          <c:tx>
            <c:strRef>
              <c:f>Grafiekblad!$P$8</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39E0-4CF4-9786-D7435714336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39E0-4CF4-9786-D74357143364}"/>
                </c:ext>
              </c:extLst>
            </c:dLbl>
            <c:dLbl>
              <c:idx val="2"/>
              <c:tx>
                <c:rich>
                  <a:bodyPr/>
                  <a:lstStyle/>
                  <a:p>
                    <a:fld id="{39E90119-8A5E-40E8-85A5-C2A5FFFB598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39E0-4CF4-9786-D74357143364}"/>
                </c:ext>
              </c:extLst>
            </c:dLbl>
            <c:dLbl>
              <c:idx val="3"/>
              <c:delete val="1"/>
              <c:extLst>
                <c:ext xmlns:c15="http://schemas.microsoft.com/office/drawing/2012/chart" uri="{CE6537A1-D6FC-4f65-9D91-7224C49458BB}"/>
                <c:ext xmlns:c16="http://schemas.microsoft.com/office/drawing/2014/chart" uri="{C3380CC4-5D6E-409C-BE32-E72D297353CC}">
                  <c16:uniqueId val="{00000016-39E0-4CF4-9786-D74357143364}"/>
                </c:ext>
              </c:extLst>
            </c:dLbl>
            <c:dLbl>
              <c:idx val="4"/>
              <c:delete val="1"/>
              <c:extLst>
                <c:ext xmlns:c15="http://schemas.microsoft.com/office/drawing/2012/chart" uri="{CE6537A1-D6FC-4f65-9D91-7224C49458BB}"/>
                <c:ext xmlns:c16="http://schemas.microsoft.com/office/drawing/2014/chart" uri="{C3380CC4-5D6E-409C-BE32-E72D297353CC}">
                  <c16:uniqueId val="{00000017-39E0-4CF4-9786-D74357143364}"/>
                </c:ext>
              </c:extLst>
            </c:dLbl>
            <c:dLbl>
              <c:idx val="5"/>
              <c:tx>
                <c:rich>
                  <a:bodyPr/>
                  <a:lstStyle/>
                  <a:p>
                    <a:fld id="{165C473F-7CB4-4588-80E8-F16711EB138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39E0-4CF4-9786-D74357143364}"/>
                </c:ext>
              </c:extLst>
            </c:dLbl>
            <c:dLbl>
              <c:idx val="6"/>
              <c:delete val="1"/>
              <c:extLst>
                <c:ext xmlns:c15="http://schemas.microsoft.com/office/drawing/2012/chart" uri="{CE6537A1-D6FC-4f65-9D91-7224C49458BB}"/>
                <c:ext xmlns:c16="http://schemas.microsoft.com/office/drawing/2014/chart" uri="{C3380CC4-5D6E-409C-BE32-E72D297353CC}">
                  <c16:uniqueId val="{00000019-39E0-4CF4-9786-D74357143364}"/>
                </c:ext>
              </c:extLst>
            </c:dLbl>
            <c:dLbl>
              <c:idx val="7"/>
              <c:delete val="1"/>
              <c:extLst>
                <c:ext xmlns:c15="http://schemas.microsoft.com/office/drawing/2012/chart" uri="{CE6537A1-D6FC-4f65-9D91-7224C49458BB}"/>
                <c:ext xmlns:c16="http://schemas.microsoft.com/office/drawing/2014/chart" uri="{C3380CC4-5D6E-409C-BE32-E72D297353CC}">
                  <c16:uniqueId val="{0000001A-39E0-4CF4-9786-D74357143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Grafiekblad!$P$9:$P$16</c:f>
              <c:numCache>
                <c:formatCode>0%</c:formatCode>
                <c:ptCount val="8"/>
                <c:pt idx="2">
                  <c:v>0</c:v>
                </c:pt>
                <c:pt idx="3">
                  <c:v>0.45144750000000006</c:v>
                </c:pt>
                <c:pt idx="4">
                  <c:v>0.45144750000000006</c:v>
                </c:pt>
                <c:pt idx="5">
                  <c:v>0.45144750000000006</c:v>
                </c:pt>
                <c:pt idx="6">
                  <c:v>0.45144750000000006</c:v>
                </c:pt>
                <c:pt idx="7">
                  <c:v>0.45144750000000006</c:v>
                </c:pt>
              </c:numCache>
            </c:numRef>
          </c:val>
          <c:extLst>
            <c:ext xmlns:c15="http://schemas.microsoft.com/office/drawing/2012/chart" uri="{02D57815-91ED-43cb-92C2-25804820EDAC}">
              <c15:datalabelsRange>
                <c15:f>Grafiekblad!$G$9:$G$16</c15:f>
                <c15:dlblRangeCache>
                  <c:ptCount val="8"/>
                  <c:pt idx="0">
                    <c:v> € -   </c:v>
                  </c:pt>
                  <c:pt idx="1">
                    <c:v> € -   </c:v>
                  </c:pt>
                  <c:pt idx="2">
                    <c:v> € -   </c:v>
                  </c:pt>
                  <c:pt idx="3">
                    <c:v> € 18.058 </c:v>
                  </c:pt>
                  <c:pt idx="4">
                    <c:v> € 18.058 </c:v>
                  </c:pt>
                  <c:pt idx="5">
                    <c:v> € 18.058 </c:v>
                  </c:pt>
                  <c:pt idx="6">
                    <c:v> € 18.058 </c:v>
                  </c:pt>
                  <c:pt idx="7">
                    <c:v> € 18.058 </c:v>
                  </c:pt>
                </c15:dlblRangeCache>
              </c15:datalabelsRange>
            </c:ext>
            <c:ext xmlns:c16="http://schemas.microsoft.com/office/drawing/2014/chart" uri="{C3380CC4-5D6E-409C-BE32-E72D297353CC}">
              <c16:uniqueId val="{0000001B-39E0-4CF4-9786-D74357143364}"/>
            </c:ext>
          </c:extLst>
        </c:ser>
        <c:ser>
          <c:idx val="4"/>
          <c:order val="4"/>
          <c:tx>
            <c:strRef>
              <c:f>Grafiekblad!$Q$8</c:f>
              <c:strCache>
                <c:ptCount val="1"/>
              </c:strCache>
            </c:strRef>
          </c:tx>
          <c:spPr>
            <a:solidFill>
              <a:srgbClr val="B75F1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39E0-4CF4-9786-D7435714336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39E0-4CF4-9786-D74357143364}"/>
                </c:ext>
              </c:extLst>
            </c:dLbl>
            <c:dLbl>
              <c:idx val="2"/>
              <c:tx>
                <c:rich>
                  <a:bodyPr/>
                  <a:lstStyle/>
                  <a:p>
                    <a:fld id="{0CCB2827-09EC-4772-B44F-2FF6E8581A2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39E0-4CF4-9786-D74357143364}"/>
                </c:ext>
              </c:extLst>
            </c:dLbl>
            <c:dLbl>
              <c:idx val="3"/>
              <c:delete val="1"/>
              <c:extLst>
                <c:ext xmlns:c15="http://schemas.microsoft.com/office/drawing/2012/chart" uri="{CE6537A1-D6FC-4f65-9D91-7224C49458BB}"/>
                <c:ext xmlns:c16="http://schemas.microsoft.com/office/drawing/2014/chart" uri="{C3380CC4-5D6E-409C-BE32-E72D297353CC}">
                  <c16:uniqueId val="{0000001F-39E0-4CF4-9786-D74357143364}"/>
                </c:ext>
              </c:extLst>
            </c:dLbl>
            <c:dLbl>
              <c:idx val="4"/>
              <c:delete val="1"/>
              <c:extLst>
                <c:ext xmlns:c15="http://schemas.microsoft.com/office/drawing/2012/chart" uri="{CE6537A1-D6FC-4f65-9D91-7224C49458BB}"/>
                <c:ext xmlns:c16="http://schemas.microsoft.com/office/drawing/2014/chart" uri="{C3380CC4-5D6E-409C-BE32-E72D297353CC}">
                  <c16:uniqueId val="{00000020-39E0-4CF4-9786-D74357143364}"/>
                </c:ext>
              </c:extLst>
            </c:dLbl>
            <c:dLbl>
              <c:idx val="5"/>
              <c:tx>
                <c:rich>
                  <a:bodyPr/>
                  <a:lstStyle/>
                  <a:p>
                    <a:fld id="{9847B72F-3A8D-490D-9B80-E60CB2BE80B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39E0-4CF4-9786-D74357143364}"/>
                </c:ext>
              </c:extLst>
            </c:dLbl>
            <c:dLbl>
              <c:idx val="6"/>
              <c:delete val="1"/>
              <c:extLst>
                <c:ext xmlns:c15="http://schemas.microsoft.com/office/drawing/2012/chart" uri="{CE6537A1-D6FC-4f65-9D91-7224C49458BB}"/>
                <c:ext xmlns:c16="http://schemas.microsoft.com/office/drawing/2014/chart" uri="{C3380CC4-5D6E-409C-BE32-E72D297353CC}">
                  <c16:uniqueId val="{00000022-39E0-4CF4-9786-D74357143364}"/>
                </c:ext>
              </c:extLst>
            </c:dLbl>
            <c:dLbl>
              <c:idx val="7"/>
              <c:delete val="1"/>
              <c:extLst>
                <c:ext xmlns:c15="http://schemas.microsoft.com/office/drawing/2012/chart" uri="{CE6537A1-D6FC-4f65-9D91-7224C49458BB}"/>
                <c:ext xmlns:c16="http://schemas.microsoft.com/office/drawing/2014/chart" uri="{C3380CC4-5D6E-409C-BE32-E72D297353CC}">
                  <c16:uniqueId val="{00000023-39E0-4CF4-9786-D7435714336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Grafiekblad!$Q$9:$Q$16</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4-39E0-4CF4-9786-D74357143364}"/>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Grafiekblad!$L$29</c:f>
              <c:strCache>
                <c:ptCount val="1"/>
                <c:pt idx="0">
                  <c:v>Loondoorbetaling bij ziekte</c:v>
                </c:pt>
              </c:strCache>
            </c:strRef>
          </c:tx>
          <c:spPr>
            <a:solidFill>
              <a:srgbClr val="008295"/>
            </a:solidFill>
            <a:ln>
              <a:noFill/>
            </a:ln>
            <a:effectLst/>
          </c:spPr>
          <c:invertIfNegative val="0"/>
          <c:dLbls>
            <c:dLbl>
              <c:idx val="0"/>
              <c:tx>
                <c:rich>
                  <a:bodyPr/>
                  <a:lstStyle/>
                  <a:p>
                    <a:fld id="{7983F905-4EDE-4649-8F67-EA03A71B58A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7222-427D-BE94-9385F344CCE9}"/>
                </c:ext>
              </c:extLst>
            </c:dLbl>
            <c:dLbl>
              <c:idx val="1"/>
              <c:tx>
                <c:rich>
                  <a:bodyPr/>
                  <a:lstStyle/>
                  <a:p>
                    <a:fld id="{D05E9B4D-846C-4821-9638-879B27FBB6A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222-427D-BE94-9385F344CCE9}"/>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7222-427D-BE94-9385F344CCE9}"/>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7222-427D-BE94-9385F344CCE9}"/>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7222-427D-BE94-9385F344CCE9}"/>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7222-427D-BE94-9385F344CCE9}"/>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7222-427D-BE94-9385F344CCE9}"/>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7222-427D-BE94-9385F344CC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Grafiekblad!$L$30:$L$37</c:f>
              <c:numCache>
                <c:formatCode>0%</c:formatCode>
                <c:ptCount val="8"/>
                <c:pt idx="0">
                  <c:v>1</c:v>
                </c:pt>
                <c:pt idx="1">
                  <c:v>0.7</c:v>
                </c:pt>
              </c:numCache>
            </c:numRef>
          </c:val>
          <c:extLst>
            <c:ext xmlns:c15="http://schemas.microsoft.com/office/drawing/2012/chart" uri="{02D57815-91ED-43cb-92C2-25804820EDAC}">
              <c15:datalabelsRange>
                <c15:f>Grafiekblad!$C$30:$C$31</c15:f>
                <c15:dlblRangeCache>
                  <c:ptCount val="2"/>
                  <c:pt idx="0">
                    <c:v> € 40.000 </c:v>
                  </c:pt>
                  <c:pt idx="1">
                    <c:v> € 28.000 </c:v>
                  </c:pt>
                </c15:dlblRangeCache>
              </c15:datalabelsRange>
            </c:ext>
            <c:ext xmlns:c16="http://schemas.microsoft.com/office/drawing/2014/chart" uri="{C3380CC4-5D6E-409C-BE32-E72D297353CC}">
              <c16:uniqueId val="{00000008-7222-427D-BE94-9385F344CCE9}"/>
            </c:ext>
          </c:extLst>
        </c:ser>
        <c:ser>
          <c:idx val="1"/>
          <c:order val="1"/>
          <c:tx>
            <c:strRef>
              <c:f>Grafiekblad!$N$29</c:f>
              <c:strCache>
                <c:ptCount val="1"/>
                <c:pt idx="0">
                  <c:v>Nieuw loon</c:v>
                </c:pt>
              </c:strCache>
            </c:strRef>
          </c:tx>
          <c:spPr>
            <a:solidFill>
              <a:srgbClr val="BCCED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7222-427D-BE94-9385F344CCE9}"/>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7222-427D-BE94-9385F344CCE9}"/>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fld id="{596DB905-939B-4D2F-A96B-277161AD1EDB}" type="CELLRANGE">
                      <a:rPr lang="nl-NL"/>
                      <a:pPr>
                        <a:defRPr>
                          <a:solidFill>
                            <a:schemeClr val="tx1"/>
                          </a:solidFill>
                          <a:latin typeface="Segoe UI" panose="020B0502040204020203"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222-427D-BE94-9385F344CCE9}"/>
                </c:ext>
              </c:extLst>
            </c:dLbl>
            <c:dLbl>
              <c:idx val="3"/>
              <c:delete val="1"/>
              <c:extLst>
                <c:ext xmlns:c15="http://schemas.microsoft.com/office/drawing/2012/chart" uri="{CE6537A1-D6FC-4f65-9D91-7224C49458BB}"/>
                <c:ext xmlns:c16="http://schemas.microsoft.com/office/drawing/2014/chart" uri="{C3380CC4-5D6E-409C-BE32-E72D297353CC}">
                  <c16:uniqueId val="{0000000C-7222-427D-BE94-9385F344CCE9}"/>
                </c:ext>
              </c:extLst>
            </c:dLbl>
            <c:dLbl>
              <c:idx val="4"/>
              <c:delete val="1"/>
              <c:extLst>
                <c:ext xmlns:c15="http://schemas.microsoft.com/office/drawing/2012/chart" uri="{CE6537A1-D6FC-4f65-9D91-7224C49458BB}"/>
                <c:ext xmlns:c16="http://schemas.microsoft.com/office/drawing/2014/chart" uri="{C3380CC4-5D6E-409C-BE32-E72D297353CC}">
                  <c16:uniqueId val="{0000000D-7222-427D-BE94-9385F344CCE9}"/>
                </c:ext>
              </c:extLst>
            </c:dLbl>
            <c:dLbl>
              <c:idx val="5"/>
              <c:tx>
                <c:rich>
                  <a:bodyPr/>
                  <a:lstStyle/>
                  <a:p>
                    <a:fld id="{8D9F1F57-16D6-4DEF-B558-FFB54FB93D2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222-427D-BE94-9385F344CCE9}"/>
                </c:ext>
              </c:extLst>
            </c:dLbl>
            <c:dLbl>
              <c:idx val="6"/>
              <c:delete val="1"/>
              <c:extLst>
                <c:ext xmlns:c15="http://schemas.microsoft.com/office/drawing/2012/chart" uri="{CE6537A1-D6FC-4f65-9D91-7224C49458BB}"/>
                <c:ext xmlns:c16="http://schemas.microsoft.com/office/drawing/2014/chart" uri="{C3380CC4-5D6E-409C-BE32-E72D297353CC}">
                  <c16:uniqueId val="{0000000F-7222-427D-BE94-9385F344CCE9}"/>
                </c:ext>
              </c:extLst>
            </c:dLbl>
            <c:dLbl>
              <c:idx val="7"/>
              <c:delete val="1"/>
              <c:extLst>
                <c:ext xmlns:c15="http://schemas.microsoft.com/office/drawing/2012/chart" uri="{CE6537A1-D6FC-4f65-9D91-7224C49458BB}"/>
                <c:ext xmlns:c16="http://schemas.microsoft.com/office/drawing/2014/chart" uri="{C3380CC4-5D6E-409C-BE32-E72D297353CC}">
                  <c16:uniqueId val="{00000010-7222-427D-BE94-9385F344CC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Grafiekblad!$N$30:$N$37</c:f>
              <c:numCache>
                <c:formatCode>0%</c:formatCode>
                <c:ptCount val="8"/>
                <c:pt idx="2">
                  <c:v>0.25</c:v>
                </c:pt>
                <c:pt idx="3">
                  <c:v>0.25</c:v>
                </c:pt>
                <c:pt idx="4">
                  <c:v>0.25</c:v>
                </c:pt>
                <c:pt idx="5">
                  <c:v>0.25</c:v>
                </c:pt>
                <c:pt idx="6">
                  <c:v>0.25</c:v>
                </c:pt>
                <c:pt idx="7">
                  <c:v>0.25</c:v>
                </c:pt>
              </c:numCache>
            </c:numRef>
          </c:val>
          <c:extLst>
            <c:ext xmlns:c15="http://schemas.microsoft.com/office/drawing/2012/chart" uri="{02D57815-91ED-43cb-92C2-25804820EDAC}">
              <c15:datalabelsRange>
                <c15:f>Grafiekblad!$E$30:$E$37</c15:f>
                <c15:dlblRangeCache>
                  <c:ptCount val="8"/>
                  <c:pt idx="0">
                    <c:v> € -   </c:v>
                  </c:pt>
                  <c:pt idx="1">
                    <c:v> € -   </c:v>
                  </c:pt>
                  <c:pt idx="2">
                    <c:v> € 10.000 </c:v>
                  </c:pt>
                  <c:pt idx="3">
                    <c:v> € 10.000 </c:v>
                  </c:pt>
                  <c:pt idx="4">
                    <c:v> € 10.000 </c:v>
                  </c:pt>
                  <c:pt idx="5">
                    <c:v> € 10.000 </c:v>
                  </c:pt>
                  <c:pt idx="6">
                    <c:v> € 10.000 </c:v>
                  </c:pt>
                  <c:pt idx="7">
                    <c:v> € 10.000 </c:v>
                  </c:pt>
                </c15:dlblRangeCache>
              </c15:datalabelsRange>
            </c:ext>
            <c:ext xmlns:c16="http://schemas.microsoft.com/office/drawing/2014/chart" uri="{C3380CC4-5D6E-409C-BE32-E72D297353CC}">
              <c16:uniqueId val="{00000011-7222-427D-BE94-9385F344CCE9}"/>
            </c:ext>
          </c:extLst>
        </c:ser>
        <c:ser>
          <c:idx val="2"/>
          <c:order val="2"/>
          <c:tx>
            <c:strRef>
              <c:f>Grafiekblad!$O$29</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7222-427D-BE94-9385F344CCE9}"/>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7222-427D-BE94-9385F344CCE9}"/>
                </c:ext>
              </c:extLst>
            </c:dLbl>
            <c:dLbl>
              <c:idx val="2"/>
              <c:tx>
                <c:rich>
                  <a:bodyPr/>
                  <a:lstStyle/>
                  <a:p>
                    <a:fld id="{224811A0-03CA-4D02-B87A-79187E1A4B1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222-427D-BE94-9385F344CCE9}"/>
                </c:ext>
              </c:extLst>
            </c:dLbl>
            <c:dLbl>
              <c:idx val="3"/>
              <c:delete val="1"/>
              <c:extLst>
                <c:ext xmlns:c15="http://schemas.microsoft.com/office/drawing/2012/chart" uri="{CE6537A1-D6FC-4f65-9D91-7224C49458BB}"/>
                <c:ext xmlns:c16="http://schemas.microsoft.com/office/drawing/2014/chart" uri="{C3380CC4-5D6E-409C-BE32-E72D297353CC}">
                  <c16:uniqueId val="{00000015-7222-427D-BE94-9385F344CCE9}"/>
                </c:ext>
              </c:extLst>
            </c:dLbl>
            <c:dLbl>
              <c:idx val="4"/>
              <c:delete val="1"/>
              <c:extLst>
                <c:ext xmlns:c15="http://schemas.microsoft.com/office/drawing/2012/chart" uri="{CE6537A1-D6FC-4f65-9D91-7224C49458BB}"/>
                <c:ext xmlns:c16="http://schemas.microsoft.com/office/drawing/2014/chart" uri="{C3380CC4-5D6E-409C-BE32-E72D297353CC}">
                  <c16:uniqueId val="{00000016-7222-427D-BE94-9385F344CCE9}"/>
                </c:ext>
              </c:extLst>
            </c:dLbl>
            <c:dLbl>
              <c:idx val="5"/>
              <c:tx>
                <c:rich>
                  <a:bodyPr/>
                  <a:lstStyle/>
                  <a:p>
                    <a:fld id="{05B6BC3B-C690-4B6D-A5F5-EC7360DDD45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222-427D-BE94-9385F344CCE9}"/>
                </c:ext>
              </c:extLst>
            </c:dLbl>
            <c:dLbl>
              <c:idx val="6"/>
              <c:delete val="1"/>
              <c:extLst>
                <c:ext xmlns:c15="http://schemas.microsoft.com/office/drawing/2012/chart" uri="{CE6537A1-D6FC-4f65-9D91-7224C49458BB}"/>
                <c:ext xmlns:c16="http://schemas.microsoft.com/office/drawing/2014/chart" uri="{C3380CC4-5D6E-409C-BE32-E72D297353CC}">
                  <c16:uniqueId val="{00000018-7222-427D-BE94-9385F344CCE9}"/>
                </c:ext>
              </c:extLst>
            </c:dLbl>
            <c:dLbl>
              <c:idx val="7"/>
              <c:delete val="1"/>
              <c:extLst>
                <c:ext xmlns:c15="http://schemas.microsoft.com/office/drawing/2012/chart" uri="{CE6537A1-D6FC-4f65-9D91-7224C49458BB}"/>
                <c:ext xmlns:c16="http://schemas.microsoft.com/office/drawing/2014/chart" uri="{C3380CC4-5D6E-409C-BE32-E72D297353CC}">
                  <c16:uniqueId val="{00000019-7222-427D-BE94-9385F344CC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Grafiekblad!$K$30:$K$37</c:f>
              <c:strCache>
                <c:ptCount val="4"/>
                <c:pt idx="0">
                  <c:v>1e ziektejaar</c:v>
                </c:pt>
                <c:pt idx="1">
                  <c:v>2e ziektejaar</c:v>
                </c:pt>
                <c:pt idx="2">
                  <c:v>Vanaf 3e jaar (max. 24 maanden)</c:v>
                </c:pt>
                <c:pt idx="3">
                  <c:v>Tot AOW leeftijd</c:v>
                </c:pt>
              </c:strCache>
            </c:strRef>
          </c:cat>
          <c:val>
            <c:numRef>
              <c:f>Grafiekblad!$O$30:$O$37</c:f>
              <c:numCache>
                <c:formatCode>0%</c:formatCode>
                <c:ptCount val="8"/>
                <c:pt idx="2">
                  <c:v>0.52500000000000002</c:v>
                </c:pt>
                <c:pt idx="3">
                  <c:v>0.35</c:v>
                </c:pt>
                <c:pt idx="4">
                  <c:v>0.35</c:v>
                </c:pt>
                <c:pt idx="5">
                  <c:v>0.35</c:v>
                </c:pt>
                <c:pt idx="6">
                  <c:v>0.35</c:v>
                </c:pt>
                <c:pt idx="7">
                  <c:v>0.35</c:v>
                </c:pt>
              </c:numCache>
            </c:numRef>
          </c:val>
          <c:extLst>
            <c:ext xmlns:c15="http://schemas.microsoft.com/office/drawing/2012/chart" uri="{02D57815-91ED-43cb-92C2-25804820EDAC}">
              <c15:datalabelsRange>
                <c15:f>Grafiekblad!$F$30:$F$37</c15:f>
                <c15:dlblRangeCache>
                  <c:ptCount val="8"/>
                  <c:pt idx="0">
                    <c:v> € -   </c:v>
                  </c:pt>
                  <c:pt idx="1">
                    <c:v> € -   </c:v>
                  </c:pt>
                  <c:pt idx="2">
                    <c:v> € 21.000 </c:v>
                  </c:pt>
                  <c:pt idx="3">
                    <c:v> € 14.000 </c:v>
                  </c:pt>
                  <c:pt idx="4">
                    <c:v> € 14.000 </c:v>
                  </c:pt>
                  <c:pt idx="5">
                    <c:v> € 14.000 </c:v>
                  </c:pt>
                  <c:pt idx="6">
                    <c:v> € 14.000 </c:v>
                  </c:pt>
                  <c:pt idx="7">
                    <c:v> € 14.000 </c:v>
                  </c:pt>
                </c15:dlblRangeCache>
              </c15:datalabelsRange>
            </c:ext>
            <c:ext xmlns:c16="http://schemas.microsoft.com/office/drawing/2014/chart" uri="{C3380CC4-5D6E-409C-BE32-E72D297353CC}">
              <c16:uniqueId val="{0000001A-7222-427D-BE94-9385F344CCE9}"/>
            </c:ext>
          </c:extLst>
        </c:ser>
        <c:ser>
          <c:idx val="3"/>
          <c:order val="3"/>
          <c:tx>
            <c:strRef>
              <c:f>Grafiekblad!$P$29</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7222-427D-BE94-9385F344CCE9}"/>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7222-427D-BE94-9385F344CCE9}"/>
                </c:ext>
              </c:extLst>
            </c:dLbl>
            <c:dLbl>
              <c:idx val="2"/>
              <c:tx>
                <c:rich>
                  <a:bodyPr/>
                  <a:lstStyle/>
                  <a:p>
                    <a:fld id="{F71ED0F8-FF53-42B2-A59C-357708BB337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7222-427D-BE94-9385F344CCE9}"/>
                </c:ext>
              </c:extLst>
            </c:dLbl>
            <c:dLbl>
              <c:idx val="3"/>
              <c:delete val="1"/>
              <c:extLst>
                <c:ext xmlns:c15="http://schemas.microsoft.com/office/drawing/2012/chart" uri="{CE6537A1-D6FC-4f65-9D91-7224C49458BB}"/>
                <c:ext xmlns:c16="http://schemas.microsoft.com/office/drawing/2014/chart" uri="{C3380CC4-5D6E-409C-BE32-E72D297353CC}">
                  <c16:uniqueId val="{0000001E-7222-427D-BE94-9385F344CCE9}"/>
                </c:ext>
              </c:extLst>
            </c:dLbl>
            <c:dLbl>
              <c:idx val="4"/>
              <c:delete val="1"/>
              <c:extLst>
                <c:ext xmlns:c15="http://schemas.microsoft.com/office/drawing/2012/chart" uri="{CE6537A1-D6FC-4f65-9D91-7224C49458BB}"/>
                <c:ext xmlns:c16="http://schemas.microsoft.com/office/drawing/2014/chart" uri="{C3380CC4-5D6E-409C-BE32-E72D297353CC}">
                  <c16:uniqueId val="{0000001F-7222-427D-BE94-9385F344CCE9}"/>
                </c:ext>
              </c:extLst>
            </c:dLbl>
            <c:dLbl>
              <c:idx val="5"/>
              <c:tx>
                <c:rich>
                  <a:bodyPr/>
                  <a:lstStyle/>
                  <a:p>
                    <a:fld id="{30262B67-777F-41D2-B5F9-2D1A5FA6C81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7222-427D-BE94-9385F344CCE9}"/>
                </c:ext>
              </c:extLst>
            </c:dLbl>
            <c:dLbl>
              <c:idx val="6"/>
              <c:delete val="1"/>
              <c:extLst>
                <c:ext xmlns:c15="http://schemas.microsoft.com/office/drawing/2012/chart" uri="{CE6537A1-D6FC-4f65-9D91-7224C49458BB}"/>
                <c:ext xmlns:c16="http://schemas.microsoft.com/office/drawing/2014/chart" uri="{C3380CC4-5D6E-409C-BE32-E72D297353CC}">
                  <c16:uniqueId val="{00000021-7222-427D-BE94-9385F344CCE9}"/>
                </c:ext>
              </c:extLst>
            </c:dLbl>
            <c:dLbl>
              <c:idx val="7"/>
              <c:delete val="1"/>
              <c:extLst>
                <c:ext xmlns:c15="http://schemas.microsoft.com/office/drawing/2012/chart" uri="{CE6537A1-D6FC-4f65-9D91-7224C49458BB}"/>
                <c:ext xmlns:c16="http://schemas.microsoft.com/office/drawing/2014/chart" uri="{C3380CC4-5D6E-409C-BE32-E72D297353CC}">
                  <c16:uniqueId val="{00000022-7222-427D-BE94-9385F344CC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Grafiekblad!$K$30:$K$37</c:f>
              <c:strCache>
                <c:ptCount val="4"/>
                <c:pt idx="0">
                  <c:v>1e ziektejaar</c:v>
                </c:pt>
                <c:pt idx="1">
                  <c:v>2e ziektejaar</c:v>
                </c:pt>
                <c:pt idx="2">
                  <c:v>Vanaf 3e jaar (max. 24 maanden)</c:v>
                </c:pt>
                <c:pt idx="3">
                  <c:v>Tot AOW leeftijd</c:v>
                </c:pt>
              </c:strCache>
            </c:strRef>
          </c:cat>
          <c:val>
            <c:numRef>
              <c:f>Grafiekblad!$P$30:$P$37</c:f>
              <c:numCache>
                <c:formatCode>0%</c:formatCode>
                <c:ptCount val="8"/>
                <c:pt idx="2">
                  <c:v>0.05</c:v>
                </c:pt>
                <c:pt idx="3">
                  <c:v>0.22500000000000001</c:v>
                </c:pt>
                <c:pt idx="4">
                  <c:v>0.22500000000000001</c:v>
                </c:pt>
                <c:pt idx="5">
                  <c:v>0.22500000000000001</c:v>
                </c:pt>
                <c:pt idx="6">
                  <c:v>0.22500000000000001</c:v>
                </c:pt>
                <c:pt idx="7">
                  <c:v>0.22500000000000001</c:v>
                </c:pt>
              </c:numCache>
            </c:numRef>
          </c:val>
          <c:extLst>
            <c:ext xmlns:c15="http://schemas.microsoft.com/office/drawing/2012/chart" uri="{02D57815-91ED-43cb-92C2-25804820EDAC}">
              <c15:datalabelsRange>
                <c15:f>Grafiekblad!$G$30:$G$37</c15:f>
                <c15:dlblRangeCache>
                  <c:ptCount val="8"/>
                  <c:pt idx="0">
                    <c:v> € -   </c:v>
                  </c:pt>
                  <c:pt idx="1">
                    <c:v> € -   </c:v>
                  </c:pt>
                  <c:pt idx="2">
                    <c:v> € 2.000 </c:v>
                  </c:pt>
                  <c:pt idx="3">
                    <c:v> € 9.000 </c:v>
                  </c:pt>
                  <c:pt idx="4">
                    <c:v> € 9.000 </c:v>
                  </c:pt>
                  <c:pt idx="5">
                    <c:v> € 9.000 </c:v>
                  </c:pt>
                  <c:pt idx="6">
                    <c:v> € 9.000 </c:v>
                  </c:pt>
                  <c:pt idx="7">
                    <c:v> € 9.000 </c:v>
                  </c:pt>
                </c15:dlblRangeCache>
              </c15:datalabelsRange>
            </c:ext>
            <c:ext xmlns:c16="http://schemas.microsoft.com/office/drawing/2014/chart" uri="{C3380CC4-5D6E-409C-BE32-E72D297353CC}">
              <c16:uniqueId val="{00000023-7222-427D-BE94-9385F344CCE9}"/>
            </c:ext>
          </c:extLst>
        </c:ser>
        <c:ser>
          <c:idx val="4"/>
          <c:order val="4"/>
          <c:tx>
            <c:strRef>
              <c:f>Grafiekblad!$Q$29</c:f>
              <c:strCache>
                <c:ptCount val="1"/>
              </c:strCache>
            </c:strRef>
          </c:tx>
          <c:spPr>
            <a:solidFill>
              <a:srgbClr val="B75F1B"/>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7222-427D-BE94-9385F344CCE9}"/>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7222-427D-BE94-9385F344CCE9}"/>
                </c:ext>
              </c:extLst>
            </c:dLbl>
            <c:dLbl>
              <c:idx val="2"/>
              <c:tx>
                <c:rich>
                  <a:bodyPr/>
                  <a:lstStyle/>
                  <a:p>
                    <a:fld id="{2A29D6AD-227D-4E2B-AEAB-F04B2855342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7222-427D-BE94-9385F344CCE9}"/>
                </c:ext>
              </c:extLst>
            </c:dLbl>
            <c:dLbl>
              <c:idx val="3"/>
              <c:delete val="1"/>
              <c:extLst>
                <c:ext xmlns:c15="http://schemas.microsoft.com/office/drawing/2012/chart" uri="{CE6537A1-D6FC-4f65-9D91-7224C49458BB}"/>
                <c:ext xmlns:c16="http://schemas.microsoft.com/office/drawing/2014/chart" uri="{C3380CC4-5D6E-409C-BE32-E72D297353CC}">
                  <c16:uniqueId val="{00000027-7222-427D-BE94-9385F344CCE9}"/>
                </c:ext>
              </c:extLst>
            </c:dLbl>
            <c:dLbl>
              <c:idx val="4"/>
              <c:delete val="1"/>
              <c:extLst>
                <c:ext xmlns:c15="http://schemas.microsoft.com/office/drawing/2012/chart" uri="{CE6537A1-D6FC-4f65-9D91-7224C49458BB}"/>
                <c:ext xmlns:c16="http://schemas.microsoft.com/office/drawing/2014/chart" uri="{C3380CC4-5D6E-409C-BE32-E72D297353CC}">
                  <c16:uniqueId val="{00000028-7222-427D-BE94-9385F344CCE9}"/>
                </c:ext>
              </c:extLst>
            </c:dLbl>
            <c:dLbl>
              <c:idx val="5"/>
              <c:tx>
                <c:rich>
                  <a:bodyPr/>
                  <a:lstStyle/>
                  <a:p>
                    <a:fld id="{8C84CF84-31F4-46F8-8845-4C9B8DC57C9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7222-427D-BE94-9385F344CCE9}"/>
                </c:ext>
              </c:extLst>
            </c:dLbl>
            <c:dLbl>
              <c:idx val="6"/>
              <c:delete val="1"/>
              <c:extLst>
                <c:ext xmlns:c15="http://schemas.microsoft.com/office/drawing/2012/chart" uri="{CE6537A1-D6FC-4f65-9D91-7224C49458BB}"/>
                <c:ext xmlns:c16="http://schemas.microsoft.com/office/drawing/2014/chart" uri="{C3380CC4-5D6E-409C-BE32-E72D297353CC}">
                  <c16:uniqueId val="{0000002A-7222-427D-BE94-9385F344CCE9}"/>
                </c:ext>
              </c:extLst>
            </c:dLbl>
            <c:dLbl>
              <c:idx val="7"/>
              <c:delete val="1"/>
              <c:extLst>
                <c:ext xmlns:c15="http://schemas.microsoft.com/office/drawing/2012/chart" uri="{CE6537A1-D6FC-4f65-9D91-7224C49458BB}"/>
                <c:ext xmlns:c16="http://schemas.microsoft.com/office/drawing/2014/chart" uri="{C3380CC4-5D6E-409C-BE32-E72D297353CC}">
                  <c16:uniqueId val="{0000002B-7222-427D-BE94-9385F344CC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Grafiekblad!$K$30:$K$37</c:f>
              <c:strCache>
                <c:ptCount val="4"/>
                <c:pt idx="0">
                  <c:v>1e ziektejaar</c:v>
                </c:pt>
                <c:pt idx="1">
                  <c:v>2e ziektejaar</c:v>
                </c:pt>
                <c:pt idx="2">
                  <c:v>Vanaf 3e jaar (max. 24 maanden)</c:v>
                </c:pt>
                <c:pt idx="3">
                  <c:v>Tot AOW leeftijd</c:v>
                </c:pt>
              </c:strCache>
            </c:strRef>
          </c:cat>
          <c:val>
            <c:numRef>
              <c:f>Grafiekblad!$Q$30:$Q$37</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Grafiekblad!$H$30:$H$37</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C-7222-427D-BE94-9385F344CCE9}"/>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Grafiekblad!$L$50</c:f>
              <c:strCache>
                <c:ptCount val="1"/>
                <c:pt idx="0">
                  <c:v>Loondoorbetaling bij ziekte</c:v>
                </c:pt>
              </c:strCache>
            </c:strRef>
          </c:tx>
          <c:spPr>
            <a:solidFill>
              <a:srgbClr val="008295"/>
            </a:solidFill>
            <a:ln>
              <a:noFill/>
            </a:ln>
            <a:effectLst/>
          </c:spPr>
          <c:invertIfNegative val="0"/>
          <c:dLbls>
            <c:dLbl>
              <c:idx val="0"/>
              <c:tx>
                <c:rich>
                  <a:bodyPr/>
                  <a:lstStyle/>
                  <a:p>
                    <a:fld id="{6E50541C-A96B-45AE-845F-5960F1FFBD5A}"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000-42C5-9FC9-ABFB03D952F8}"/>
                </c:ext>
              </c:extLst>
            </c:dLbl>
            <c:dLbl>
              <c:idx val="1"/>
              <c:tx>
                <c:rich>
                  <a:bodyPr/>
                  <a:lstStyle/>
                  <a:p>
                    <a:fld id="{3470A81E-E9D4-4C8F-97EA-85AC65F4B20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000-42C5-9FC9-ABFB03D952F8}"/>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F000-42C5-9FC9-ABFB03D952F8}"/>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F000-42C5-9FC9-ABFB03D952F8}"/>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F000-42C5-9FC9-ABFB03D952F8}"/>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F000-42C5-9FC9-ABFB03D952F8}"/>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000-42C5-9FC9-ABFB03D952F8}"/>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F000-42C5-9FC9-ABFB03D952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Grafiekblad!$L$51:$L$58</c:f>
              <c:numCache>
                <c:formatCode>0%</c:formatCode>
                <c:ptCount val="8"/>
                <c:pt idx="0">
                  <c:v>1</c:v>
                </c:pt>
                <c:pt idx="1">
                  <c:v>0.7</c:v>
                </c:pt>
              </c:numCache>
            </c:numRef>
          </c:val>
          <c:extLst>
            <c:ext xmlns:c15="http://schemas.microsoft.com/office/drawing/2012/chart" uri="{02D57815-91ED-43cb-92C2-25804820EDAC}">
              <c15:datalabelsRange>
                <c15:f>Grafiekblad!$C$30:$C$31</c15:f>
                <c15:dlblRangeCache>
                  <c:ptCount val="2"/>
                  <c:pt idx="0">
                    <c:v> € 40.000 </c:v>
                  </c:pt>
                  <c:pt idx="1">
                    <c:v> € 28.000 </c:v>
                  </c:pt>
                </c15:dlblRangeCache>
              </c15:datalabelsRange>
            </c:ext>
            <c:ext xmlns:c16="http://schemas.microsoft.com/office/drawing/2014/chart" uri="{C3380CC4-5D6E-409C-BE32-E72D297353CC}">
              <c16:uniqueId val="{00000008-F000-42C5-9FC9-ABFB03D952F8}"/>
            </c:ext>
          </c:extLst>
        </c:ser>
        <c:ser>
          <c:idx val="1"/>
          <c:order val="1"/>
          <c:tx>
            <c:strRef>
              <c:f>Grafiekblad!$N$50</c:f>
              <c:strCache>
                <c:ptCount val="1"/>
                <c:pt idx="0">
                  <c:v>Nieuw loon</c:v>
                </c:pt>
              </c:strCache>
            </c:strRef>
          </c:tx>
          <c:spPr>
            <a:solidFill>
              <a:schemeClr val="accent2"/>
            </a:solidFill>
            <a:ln>
              <a:noFill/>
            </a:ln>
            <a:effectLst/>
          </c:spPr>
          <c:invertIfNegative val="0"/>
          <c:cat>
            <c:strRef>
              <c:f>Grafiekblad!$K$51:$K$58</c:f>
              <c:strCache>
                <c:ptCount val="4"/>
                <c:pt idx="0">
                  <c:v>1e ziektejaar</c:v>
                </c:pt>
                <c:pt idx="1">
                  <c:v>2e ziektejaar</c:v>
                </c:pt>
                <c:pt idx="2">
                  <c:v>Vanaf 3e jaar (max. 24 maanden)</c:v>
                </c:pt>
                <c:pt idx="3">
                  <c:v>Tot AOW leeftijd</c:v>
                </c:pt>
              </c:strCache>
            </c:strRef>
          </c:cat>
          <c:val>
            <c:numRef>
              <c:f>Grafiekblad!$N$51:$N$58</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09-F000-42C5-9FC9-ABFB03D952F8}"/>
            </c:ext>
          </c:extLst>
        </c:ser>
        <c:ser>
          <c:idx val="2"/>
          <c:order val="2"/>
          <c:tx>
            <c:strRef>
              <c:f>Grafiekblad!$O$50</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F000-42C5-9FC9-ABFB03D952F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F000-42C5-9FC9-ABFB03D952F8}"/>
                </c:ext>
              </c:extLst>
            </c:dLbl>
            <c:dLbl>
              <c:idx val="2"/>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fld id="{29099AF3-CDCA-4F46-870F-75AB265E6E72}" type="CELLRANGE">
                      <a:rPr lang="nl-NL"/>
                      <a:pPr>
                        <a:defRPr>
                          <a:solidFill>
                            <a:schemeClr val="bg1"/>
                          </a:solidFill>
                          <a:latin typeface="Segoe UI" panose="020B0502040204020203" pitchFamily="34" charset="0"/>
                          <a:ea typeface="Open Sans" panose="020B0606030504020204"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F000-42C5-9FC9-ABFB03D952F8}"/>
                </c:ext>
              </c:extLst>
            </c:dLbl>
            <c:dLbl>
              <c:idx val="3"/>
              <c:delete val="1"/>
              <c:extLst>
                <c:ext xmlns:c15="http://schemas.microsoft.com/office/drawing/2012/chart" uri="{CE6537A1-D6FC-4f65-9D91-7224C49458BB}"/>
                <c:ext xmlns:c16="http://schemas.microsoft.com/office/drawing/2014/chart" uri="{C3380CC4-5D6E-409C-BE32-E72D297353CC}">
                  <c16:uniqueId val="{0000000D-F000-42C5-9FC9-ABFB03D952F8}"/>
                </c:ext>
              </c:extLst>
            </c:dLbl>
            <c:dLbl>
              <c:idx val="4"/>
              <c:delete val="1"/>
              <c:extLst>
                <c:ext xmlns:c15="http://schemas.microsoft.com/office/drawing/2012/chart" uri="{CE6537A1-D6FC-4f65-9D91-7224C49458BB}"/>
                <c:ext xmlns:c16="http://schemas.microsoft.com/office/drawing/2014/chart" uri="{C3380CC4-5D6E-409C-BE32-E72D297353CC}">
                  <c16:uniqueId val="{0000000E-F000-42C5-9FC9-ABFB03D952F8}"/>
                </c:ext>
              </c:extLst>
            </c:dLbl>
            <c:dLbl>
              <c:idx val="5"/>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fld id="{63AC88A5-7F7F-47B5-97AD-5EAD50EB40E5}" type="CELLRANGE">
                      <a:rPr lang="nl-NL"/>
                      <a:pPr>
                        <a:defRPr>
                          <a:solidFill>
                            <a:schemeClr val="bg1"/>
                          </a:solidFill>
                          <a:latin typeface="Segoe UI" panose="020B0502040204020203" pitchFamily="34" charset="0"/>
                          <a:ea typeface="Open Sans" panose="020B0606030504020204" pitchFamily="34" charset="0"/>
                          <a:cs typeface="Segoe UI" panose="020B0502040204020203" pitchFamily="34"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000-42C5-9FC9-ABFB03D952F8}"/>
                </c:ext>
              </c:extLst>
            </c:dLbl>
            <c:dLbl>
              <c:idx val="6"/>
              <c:delete val="1"/>
              <c:extLst>
                <c:ext xmlns:c15="http://schemas.microsoft.com/office/drawing/2012/chart" uri="{CE6537A1-D6FC-4f65-9D91-7224C49458BB}"/>
                <c:ext xmlns:c16="http://schemas.microsoft.com/office/drawing/2014/chart" uri="{C3380CC4-5D6E-409C-BE32-E72D297353CC}">
                  <c16:uniqueId val="{00000010-F000-42C5-9FC9-ABFB03D952F8}"/>
                </c:ext>
              </c:extLst>
            </c:dLbl>
            <c:dLbl>
              <c:idx val="7"/>
              <c:delete val="1"/>
              <c:extLst>
                <c:ext xmlns:c15="http://schemas.microsoft.com/office/drawing/2012/chart" uri="{CE6537A1-D6FC-4f65-9D91-7224C49458BB}"/>
                <c:ext xmlns:c16="http://schemas.microsoft.com/office/drawing/2014/chart" uri="{C3380CC4-5D6E-409C-BE32-E72D297353CC}">
                  <c16:uniqueId val="{00000011-F000-42C5-9FC9-ABFB03D952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Grafiekblad!$O$51:$O$58</c:f>
              <c:numCache>
                <c:formatCode>0%</c:formatCode>
                <c:ptCount val="8"/>
                <c:pt idx="2">
                  <c:v>0.7</c:v>
                </c:pt>
                <c:pt idx="3">
                  <c:v>0.7</c:v>
                </c:pt>
                <c:pt idx="4">
                  <c:v>0.7</c:v>
                </c:pt>
                <c:pt idx="5">
                  <c:v>0.7</c:v>
                </c:pt>
                <c:pt idx="6">
                  <c:v>0.7</c:v>
                </c:pt>
                <c:pt idx="7">
                  <c:v>0.7</c:v>
                </c:pt>
              </c:numCache>
            </c:numRef>
          </c:val>
          <c:extLst>
            <c:ext xmlns:c15="http://schemas.microsoft.com/office/drawing/2012/chart" uri="{02D57815-91ED-43cb-92C2-25804820EDAC}">
              <c15:datalabelsRange>
                <c15:f>Grafiekblad!$F$51:$F$58</c15:f>
                <c15:dlblRangeCache>
                  <c:ptCount val="8"/>
                  <c:pt idx="0">
                    <c:v> € -   </c:v>
                  </c:pt>
                  <c:pt idx="1">
                    <c:v> € -   </c:v>
                  </c:pt>
                  <c:pt idx="2">
                    <c:v> € 28.000 </c:v>
                  </c:pt>
                  <c:pt idx="3">
                    <c:v> € 28.000 </c:v>
                  </c:pt>
                  <c:pt idx="4">
                    <c:v> € 28.000 </c:v>
                  </c:pt>
                  <c:pt idx="5">
                    <c:v> € 28.000 </c:v>
                  </c:pt>
                  <c:pt idx="6">
                    <c:v> € 28.000 </c:v>
                  </c:pt>
                  <c:pt idx="7">
                    <c:v> € 28.000 </c:v>
                  </c:pt>
                </c15:dlblRangeCache>
              </c15:datalabelsRange>
            </c:ext>
            <c:ext xmlns:c16="http://schemas.microsoft.com/office/drawing/2014/chart" uri="{C3380CC4-5D6E-409C-BE32-E72D297353CC}">
              <c16:uniqueId val="{00000012-F000-42C5-9FC9-ABFB03D952F8}"/>
            </c:ext>
          </c:extLst>
        </c:ser>
        <c:ser>
          <c:idx val="3"/>
          <c:order val="3"/>
          <c:tx>
            <c:strRef>
              <c:f>Grafiekblad!$P$50</c:f>
              <c:strCache>
                <c:ptCount val="1"/>
                <c:pt idx="0">
                  <c:v>WGA Hiaat Uitgebreid</c:v>
                </c:pt>
              </c:strCache>
            </c:strRef>
          </c:tx>
          <c:spPr>
            <a:solidFill>
              <a:schemeClr val="bg1">
                <a:lumMod val="6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F000-42C5-9FC9-ABFB03D952F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F000-42C5-9FC9-ABFB03D952F8}"/>
                </c:ext>
              </c:extLst>
            </c:dLbl>
            <c:dLbl>
              <c:idx val="2"/>
              <c:tx>
                <c:rich>
                  <a:bodyPr/>
                  <a:lstStyle/>
                  <a:p>
                    <a:fld id="{FAF804E3-3CC9-436F-9588-56A8561B075D}"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F000-42C5-9FC9-ABFB03D952F8}"/>
                </c:ext>
              </c:extLst>
            </c:dLbl>
            <c:dLbl>
              <c:idx val="3"/>
              <c:delete val="1"/>
              <c:extLst>
                <c:ext xmlns:c15="http://schemas.microsoft.com/office/drawing/2012/chart" uri="{CE6537A1-D6FC-4f65-9D91-7224C49458BB}"/>
                <c:ext xmlns:c16="http://schemas.microsoft.com/office/drawing/2014/chart" uri="{C3380CC4-5D6E-409C-BE32-E72D297353CC}">
                  <c16:uniqueId val="{00000016-F000-42C5-9FC9-ABFB03D952F8}"/>
                </c:ext>
              </c:extLst>
            </c:dLbl>
            <c:dLbl>
              <c:idx val="4"/>
              <c:delete val="1"/>
              <c:extLst>
                <c:ext xmlns:c15="http://schemas.microsoft.com/office/drawing/2012/chart" uri="{CE6537A1-D6FC-4f65-9D91-7224C49458BB}"/>
                <c:ext xmlns:c16="http://schemas.microsoft.com/office/drawing/2014/chart" uri="{C3380CC4-5D6E-409C-BE32-E72D297353CC}">
                  <c16:uniqueId val="{00000017-F000-42C5-9FC9-ABFB03D952F8}"/>
                </c:ext>
              </c:extLst>
            </c:dLbl>
            <c:dLbl>
              <c:idx val="5"/>
              <c:tx>
                <c:rich>
                  <a:bodyPr/>
                  <a:lstStyle/>
                  <a:p>
                    <a:fld id="{CAF83BD6-A23D-498D-84F6-14D6B3BB83D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F000-42C5-9FC9-ABFB03D952F8}"/>
                </c:ext>
              </c:extLst>
            </c:dLbl>
            <c:dLbl>
              <c:idx val="6"/>
              <c:delete val="1"/>
              <c:extLst>
                <c:ext xmlns:c15="http://schemas.microsoft.com/office/drawing/2012/chart" uri="{CE6537A1-D6FC-4f65-9D91-7224C49458BB}"/>
                <c:ext xmlns:c16="http://schemas.microsoft.com/office/drawing/2014/chart" uri="{C3380CC4-5D6E-409C-BE32-E72D297353CC}">
                  <c16:uniqueId val="{00000019-F000-42C5-9FC9-ABFB03D952F8}"/>
                </c:ext>
              </c:extLst>
            </c:dLbl>
            <c:dLbl>
              <c:idx val="7"/>
              <c:delete val="1"/>
              <c:extLst>
                <c:ext xmlns:c15="http://schemas.microsoft.com/office/drawing/2012/chart" uri="{CE6537A1-D6FC-4f65-9D91-7224C49458BB}"/>
                <c:ext xmlns:c16="http://schemas.microsoft.com/office/drawing/2014/chart" uri="{C3380CC4-5D6E-409C-BE32-E72D297353CC}">
                  <c16:uniqueId val="{0000001A-F000-42C5-9FC9-ABFB03D952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Grafiekblad!$P$51:$P$58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Grafiekblad!$G$51:$G$58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1B-F000-42C5-9FC9-ABFB03D952F8}"/>
            </c:ext>
          </c:extLst>
        </c:ser>
        <c:ser>
          <c:idx val="4"/>
          <c:order val="4"/>
          <c:tx>
            <c:strRef>
              <c:f>Grafiekblad!$Q$50</c:f>
              <c:strCache>
                <c:ptCount val="1"/>
              </c:strCache>
            </c:strRef>
          </c:tx>
          <c:spPr>
            <a:solidFill>
              <a:schemeClr val="accent2">
                <a:lumMod val="75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F000-42C5-9FC9-ABFB03D952F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F000-42C5-9FC9-ABFB03D952F8}"/>
                </c:ext>
              </c:extLst>
            </c:dLbl>
            <c:dLbl>
              <c:idx val="2"/>
              <c:tx>
                <c:rich>
                  <a:bodyPr/>
                  <a:lstStyle/>
                  <a:p>
                    <a:fld id="{4A359EA4-9FC2-4444-984D-08FFD6F528A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F000-42C5-9FC9-ABFB03D952F8}"/>
                </c:ext>
              </c:extLst>
            </c:dLbl>
            <c:dLbl>
              <c:idx val="3"/>
              <c:delete val="1"/>
              <c:extLst>
                <c:ext xmlns:c15="http://schemas.microsoft.com/office/drawing/2012/chart" uri="{CE6537A1-D6FC-4f65-9D91-7224C49458BB}"/>
                <c:ext xmlns:c16="http://schemas.microsoft.com/office/drawing/2014/chart" uri="{C3380CC4-5D6E-409C-BE32-E72D297353CC}">
                  <c16:uniqueId val="{0000001F-F000-42C5-9FC9-ABFB03D952F8}"/>
                </c:ext>
              </c:extLst>
            </c:dLbl>
            <c:dLbl>
              <c:idx val="4"/>
              <c:delete val="1"/>
              <c:extLst>
                <c:ext xmlns:c15="http://schemas.microsoft.com/office/drawing/2012/chart" uri="{CE6537A1-D6FC-4f65-9D91-7224C49458BB}"/>
                <c:ext xmlns:c16="http://schemas.microsoft.com/office/drawing/2014/chart" uri="{C3380CC4-5D6E-409C-BE32-E72D297353CC}">
                  <c16:uniqueId val="{00000020-F000-42C5-9FC9-ABFB03D952F8}"/>
                </c:ext>
              </c:extLst>
            </c:dLbl>
            <c:dLbl>
              <c:idx val="5"/>
              <c:tx>
                <c:rich>
                  <a:bodyPr/>
                  <a:lstStyle/>
                  <a:p>
                    <a:fld id="{778D4087-6E26-4F5D-AFDF-6F4CA234C7AC}"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F000-42C5-9FC9-ABFB03D952F8}"/>
                </c:ext>
              </c:extLst>
            </c:dLbl>
            <c:dLbl>
              <c:idx val="6"/>
              <c:delete val="1"/>
              <c:extLst>
                <c:ext xmlns:c15="http://schemas.microsoft.com/office/drawing/2012/chart" uri="{CE6537A1-D6FC-4f65-9D91-7224C49458BB}"/>
                <c:ext xmlns:c16="http://schemas.microsoft.com/office/drawing/2014/chart" uri="{C3380CC4-5D6E-409C-BE32-E72D297353CC}">
                  <c16:uniqueId val="{00000022-F000-42C5-9FC9-ABFB03D952F8}"/>
                </c:ext>
              </c:extLst>
            </c:dLbl>
            <c:dLbl>
              <c:idx val="7"/>
              <c:delete val="1"/>
              <c:extLst>
                <c:ext xmlns:c15="http://schemas.microsoft.com/office/drawing/2012/chart" uri="{CE6537A1-D6FC-4f65-9D91-7224C49458BB}"/>
                <c:ext xmlns:c16="http://schemas.microsoft.com/office/drawing/2014/chart" uri="{C3380CC4-5D6E-409C-BE32-E72D297353CC}">
                  <c16:uniqueId val="{00000023-F000-42C5-9FC9-ABFB03D952F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Segoe UI" panose="020B0502040204020203" pitchFamily="34" charset="0"/>
                    <a:ea typeface="+mn-ea"/>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Grafiekblad!$K$51:$K$58</c:f>
              <c:strCache>
                <c:ptCount val="4"/>
                <c:pt idx="0">
                  <c:v>1e ziektejaar</c:v>
                </c:pt>
                <c:pt idx="1">
                  <c:v>2e ziektejaar</c:v>
                </c:pt>
                <c:pt idx="2">
                  <c:v>Vanaf 3e jaar (max. 24 maanden)</c:v>
                </c:pt>
                <c:pt idx="3">
                  <c:v>Tot AOW leeftijd</c:v>
                </c:pt>
              </c:strCache>
            </c:strRef>
          </c:cat>
          <c:val>
            <c:numRef>
              <c:f>Grafiekblad!$Q$51:$Q$58</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Grafiekblad!$H$51:$H$58</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4-F000-42C5-9FC9-ABFB03D952F8}"/>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Grafiekblad!$L$71</c:f>
              <c:strCache>
                <c:ptCount val="1"/>
                <c:pt idx="0">
                  <c:v>Loondoorbetaling bij ziekte</c:v>
                </c:pt>
              </c:strCache>
            </c:strRef>
          </c:tx>
          <c:spPr>
            <a:solidFill>
              <a:schemeClr val="accent1"/>
            </a:solidFill>
            <a:ln>
              <a:noFill/>
            </a:ln>
            <a:effectLst/>
          </c:spPr>
          <c:invertIfNegative val="0"/>
          <c:dPt>
            <c:idx val="0"/>
            <c:invertIfNegative val="0"/>
            <c:bubble3D val="0"/>
            <c:spPr>
              <a:solidFill>
                <a:srgbClr val="595959"/>
              </a:solidFill>
              <a:ln>
                <a:noFill/>
              </a:ln>
              <a:effectLst/>
            </c:spPr>
            <c:extLst>
              <c:ext xmlns:c16="http://schemas.microsoft.com/office/drawing/2014/chart" uri="{C3380CC4-5D6E-409C-BE32-E72D297353CC}">
                <c16:uniqueId val="{00000000-F529-485E-80AE-01A9AE143884}"/>
              </c:ext>
            </c:extLst>
          </c:dPt>
          <c:dPt>
            <c:idx val="1"/>
            <c:invertIfNegative val="0"/>
            <c:bubble3D val="0"/>
            <c:spPr>
              <a:solidFill>
                <a:srgbClr val="595959"/>
              </a:solidFill>
              <a:ln>
                <a:noFill/>
              </a:ln>
              <a:effectLst/>
            </c:spPr>
            <c:extLst>
              <c:ext xmlns:c16="http://schemas.microsoft.com/office/drawing/2014/chart" uri="{C3380CC4-5D6E-409C-BE32-E72D297353CC}">
                <c16:uniqueId val="{00000001-F529-485E-80AE-01A9AE143884}"/>
              </c:ext>
            </c:extLst>
          </c:dPt>
          <c:dLbls>
            <c:dLbl>
              <c:idx val="0"/>
              <c:tx>
                <c:rich>
                  <a:bodyPr/>
                  <a:lstStyle/>
                  <a:p>
                    <a:fld id="{251AEFFC-179F-44C8-8068-8D03B0D75969}"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529-485E-80AE-01A9AE143884}"/>
                </c:ext>
              </c:extLst>
            </c:dLbl>
            <c:dLbl>
              <c:idx val="1"/>
              <c:tx>
                <c:rich>
                  <a:bodyPr/>
                  <a:lstStyle/>
                  <a:p>
                    <a:fld id="{7CB4F5A6-452F-4715-A729-92A3CBDD9FD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F529-485E-80AE-01A9AE143884}"/>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F529-485E-80AE-01A9AE143884}"/>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F529-485E-80AE-01A9AE143884}"/>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F529-485E-80AE-01A9AE143884}"/>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F529-485E-80AE-01A9AE143884}"/>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529-485E-80AE-01A9AE143884}"/>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Grafiekblad!$L$72:$L$79</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F529-485E-80AE-01A9AE143884}"/>
            </c:ext>
          </c:extLst>
        </c:ser>
        <c:ser>
          <c:idx val="1"/>
          <c:order val="1"/>
          <c:tx>
            <c:strRef>
              <c:f>Grafiekblad!$N$71</c:f>
              <c:strCache>
                <c:ptCount val="1"/>
                <c:pt idx="0">
                  <c:v>Nieuw loon</c:v>
                </c:pt>
              </c:strCache>
            </c:strRef>
          </c:tx>
          <c:spPr>
            <a:solidFill>
              <a:srgbClr val="DDDDD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F529-485E-80AE-01A9AE14388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F529-485E-80AE-01A9AE143884}"/>
                </c:ext>
              </c:extLst>
            </c:dLbl>
            <c:dLbl>
              <c:idx val="2"/>
              <c:delete val="1"/>
              <c:extLst>
                <c:ext xmlns:c15="http://schemas.microsoft.com/office/drawing/2012/chart" uri="{CE6537A1-D6FC-4f65-9D91-7224C49458BB}"/>
                <c:ext xmlns:c16="http://schemas.microsoft.com/office/drawing/2014/chart" uri="{C3380CC4-5D6E-409C-BE32-E72D297353CC}">
                  <c16:uniqueId val="{0000000B-F529-485E-80AE-01A9AE143884}"/>
                </c:ext>
              </c:extLst>
            </c:dLbl>
            <c:dLbl>
              <c:idx val="3"/>
              <c:delete val="1"/>
              <c:extLst>
                <c:ext xmlns:c15="http://schemas.microsoft.com/office/drawing/2012/chart" uri="{CE6537A1-D6FC-4f65-9D91-7224C49458BB}"/>
                <c:ext xmlns:c16="http://schemas.microsoft.com/office/drawing/2014/chart" uri="{C3380CC4-5D6E-409C-BE32-E72D297353CC}">
                  <c16:uniqueId val="{0000000C-F529-485E-80AE-01A9AE143884}"/>
                </c:ext>
              </c:extLst>
            </c:dLbl>
            <c:dLbl>
              <c:idx val="4"/>
              <c:tx>
                <c:rich>
                  <a:bodyPr/>
                  <a:lstStyle/>
                  <a:p>
                    <a:fld id="{47645959-B253-4262-AB48-B93EE019F61A}"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F529-485E-80AE-01A9AE143884}"/>
                </c:ext>
              </c:extLst>
            </c:dLbl>
            <c:dLbl>
              <c:idx val="5"/>
              <c:delete val="1"/>
              <c:extLst>
                <c:ext xmlns:c15="http://schemas.microsoft.com/office/drawing/2012/chart" uri="{CE6537A1-D6FC-4f65-9D91-7224C49458BB}"/>
                <c:ext xmlns:c16="http://schemas.microsoft.com/office/drawing/2014/chart" uri="{C3380CC4-5D6E-409C-BE32-E72D297353CC}">
                  <c16:uniqueId val="{0000000E-F529-485E-80AE-01A9AE143884}"/>
                </c:ext>
              </c:extLst>
            </c:dLbl>
            <c:dLbl>
              <c:idx val="6"/>
              <c:tx>
                <c:rich>
                  <a:bodyPr/>
                  <a:lstStyle/>
                  <a:p>
                    <a:fld id="{D27511D0-B5F4-4107-B478-31E1A054E86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F529-485E-80AE-01A9AE143884}"/>
                </c:ext>
              </c:extLst>
            </c:dLbl>
            <c:dLbl>
              <c:idx val="7"/>
              <c:delete val="1"/>
              <c:extLst>
                <c:ext xmlns:c15="http://schemas.microsoft.com/office/drawing/2012/chart" uri="{CE6537A1-D6FC-4f65-9D91-7224C49458BB}"/>
                <c:ext xmlns:c16="http://schemas.microsoft.com/office/drawing/2014/chart" uri="{C3380CC4-5D6E-409C-BE32-E72D297353CC}">
                  <c16:uniqueId val="{00000010-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Grafiekblad!$N$72:$N$79</c:f>
              <c:numCache>
                <c:formatCode>0%</c:formatCode>
                <c:ptCount val="8"/>
                <c:pt idx="2">
                  <c:v>0.375</c:v>
                </c:pt>
                <c:pt idx="3">
                  <c:v>0.375</c:v>
                </c:pt>
                <c:pt idx="4">
                  <c:v>0.375</c:v>
                </c:pt>
                <c:pt idx="5">
                  <c:v>0.375</c:v>
                </c:pt>
                <c:pt idx="6">
                  <c:v>0.375</c:v>
                </c:pt>
                <c:pt idx="7">
                  <c:v>0.375</c:v>
                </c:pt>
              </c:numCache>
            </c:numRef>
          </c:val>
          <c:extLst>
            <c:ext xmlns:c15="http://schemas.microsoft.com/office/drawing/2012/chart" uri="{02D57815-91ED-43cb-92C2-25804820EDAC}">
              <c15:datalabelsRange>
                <c15:f>Grafiekblad!$E$72:$E$79</c15:f>
                <c15:dlblRangeCache>
                  <c:ptCount val="8"/>
                  <c:pt idx="0">
                    <c:v> € -   </c:v>
                  </c:pt>
                  <c:pt idx="1">
                    <c:v> € -   </c:v>
                  </c:pt>
                  <c:pt idx="2">
                    <c:v> € 15.000 </c:v>
                  </c:pt>
                  <c:pt idx="3">
                    <c:v> € 15.000 </c:v>
                  </c:pt>
                  <c:pt idx="4">
                    <c:v> € 15.000 </c:v>
                  </c:pt>
                  <c:pt idx="5">
                    <c:v> € 15.000 </c:v>
                  </c:pt>
                  <c:pt idx="6">
                    <c:v> € 15.000 </c:v>
                  </c:pt>
                  <c:pt idx="7">
                    <c:v> € 15.000 </c:v>
                  </c:pt>
                </c15:dlblRangeCache>
              </c15:datalabelsRange>
            </c:ext>
            <c:ext xmlns:c16="http://schemas.microsoft.com/office/drawing/2014/chart" uri="{C3380CC4-5D6E-409C-BE32-E72D297353CC}">
              <c16:uniqueId val="{00000011-F529-485E-80AE-01A9AE143884}"/>
            </c:ext>
          </c:extLst>
        </c:ser>
        <c:ser>
          <c:idx val="2"/>
          <c:order val="2"/>
          <c:tx>
            <c:strRef>
              <c:f>Grafiekblad!$O$71</c:f>
              <c:strCache>
                <c:ptCount val="1"/>
                <c:pt idx="0">
                  <c:v>WGA uitkering</c:v>
                </c:pt>
              </c:strCache>
            </c:strRef>
          </c:tx>
          <c:spPr>
            <a:solidFill>
              <a:schemeClr val="accent3"/>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Grafiekblad!$O$72:$O$79</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A-F529-485E-80AE-01A9AE143884}"/>
            </c:ext>
          </c:extLst>
        </c:ser>
        <c:ser>
          <c:idx val="3"/>
          <c:order val="3"/>
          <c:tx>
            <c:strRef>
              <c:f>Grafiekblad!$P$71</c:f>
              <c:strCache>
                <c:ptCount val="1"/>
                <c:pt idx="0">
                  <c:v>WIA Bodem</c:v>
                </c:pt>
              </c:strCache>
            </c:strRef>
          </c:tx>
          <c:spPr>
            <a:solidFill>
              <a:srgbClr val="78BE20"/>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F529-485E-80AE-01A9AE143884}"/>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F529-485E-80AE-01A9AE143884}"/>
                </c:ext>
              </c:extLst>
            </c:dLbl>
            <c:dLbl>
              <c:idx val="2"/>
              <c:delete val="1"/>
              <c:extLst>
                <c:ext xmlns:c15="http://schemas.microsoft.com/office/drawing/2012/chart" uri="{CE6537A1-D6FC-4f65-9D91-7224C49458BB}"/>
                <c:ext xmlns:c16="http://schemas.microsoft.com/office/drawing/2014/chart" uri="{C3380CC4-5D6E-409C-BE32-E72D297353CC}">
                  <c16:uniqueId val="{0000001D-F529-485E-80AE-01A9AE143884}"/>
                </c:ext>
              </c:extLst>
            </c:dLbl>
            <c:dLbl>
              <c:idx val="3"/>
              <c:delete val="1"/>
              <c:extLst>
                <c:ext xmlns:c15="http://schemas.microsoft.com/office/drawing/2012/chart" uri="{CE6537A1-D6FC-4f65-9D91-7224C49458BB}"/>
                <c:ext xmlns:c16="http://schemas.microsoft.com/office/drawing/2014/chart" uri="{C3380CC4-5D6E-409C-BE32-E72D297353CC}">
                  <c16:uniqueId val="{0000001E-F529-485E-80AE-01A9AE143884}"/>
                </c:ext>
              </c:extLst>
            </c:dLbl>
            <c:dLbl>
              <c:idx val="4"/>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fld id="{D6750472-4CAB-4D79-AF17-12F1F0D90CFD}" type="CELLRANGE">
                      <a:rPr lang="nl-NL"/>
                      <a:pPr>
                        <a:defRPr>
                          <a:latin typeface="Muli Light" panose="00000400000000000000" pitchFamily="2" charset="0"/>
                        </a:defRPr>
                      </a:pPr>
                      <a:t>[CELLRANGE]</a:t>
                    </a:fld>
                    <a:endParaRPr lang="nl-NL"/>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F529-485E-80AE-01A9AE143884}"/>
                </c:ext>
              </c:extLst>
            </c:dLbl>
            <c:dLbl>
              <c:idx val="5"/>
              <c:delete val="1"/>
              <c:extLst>
                <c:ext xmlns:c15="http://schemas.microsoft.com/office/drawing/2012/chart" uri="{CE6537A1-D6FC-4f65-9D91-7224C49458BB}"/>
                <c:ext xmlns:c16="http://schemas.microsoft.com/office/drawing/2014/chart" uri="{C3380CC4-5D6E-409C-BE32-E72D297353CC}">
                  <c16:uniqueId val="{00000020-F529-485E-80AE-01A9AE143884}"/>
                </c:ext>
              </c:extLst>
            </c:dLbl>
            <c:dLbl>
              <c:idx val="6"/>
              <c:delete val="1"/>
              <c:extLst>
                <c:ext xmlns:c15="http://schemas.microsoft.com/office/drawing/2012/chart" uri="{CE6537A1-D6FC-4f65-9D91-7224C49458BB}"/>
                <c:ext xmlns:c16="http://schemas.microsoft.com/office/drawing/2014/chart" uri="{C3380CC4-5D6E-409C-BE32-E72D297353CC}">
                  <c16:uniqueId val="{00000021-F529-485E-80AE-01A9AE143884}"/>
                </c:ext>
              </c:extLst>
            </c:dLbl>
            <c:dLbl>
              <c:idx val="7"/>
              <c:delete val="1"/>
              <c:extLst>
                <c:ext xmlns:c15="http://schemas.microsoft.com/office/drawing/2012/chart" uri="{CE6537A1-D6FC-4f65-9D91-7224C49458BB}"/>
                <c:ext xmlns:c16="http://schemas.microsoft.com/office/drawing/2014/chart" uri="{C3380CC4-5D6E-409C-BE32-E72D297353CC}">
                  <c16:uniqueId val="{00000022-F529-485E-80AE-01A9AE1438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Grafiekblad!$K$72:$K$79</c:f>
              <c:strCache>
                <c:ptCount val="4"/>
                <c:pt idx="0">
                  <c:v>1e ziektejaar</c:v>
                </c:pt>
                <c:pt idx="1">
                  <c:v>2e ziektejaar</c:v>
                </c:pt>
                <c:pt idx="2">
                  <c:v>Vanaf 3e jaar (max. 24 maanden)</c:v>
                </c:pt>
                <c:pt idx="3">
                  <c:v>Tot AOW leeftijd</c:v>
                </c:pt>
              </c:strCache>
            </c:strRef>
          </c:cat>
          <c:val>
            <c:numRef>
              <c:f>Grafiekblad!$P$72:$P$79</c:f>
              <c:numCache>
                <c:formatCode>0%</c:formatCode>
                <c:ptCount val="8"/>
                <c:pt idx="2">
                  <c:v>0.25</c:v>
                </c:pt>
                <c:pt idx="3">
                  <c:v>0.25</c:v>
                </c:pt>
                <c:pt idx="4">
                  <c:v>0.25</c:v>
                </c:pt>
                <c:pt idx="5">
                  <c:v>0.25</c:v>
                </c:pt>
                <c:pt idx="6">
                  <c:v>0</c:v>
                </c:pt>
                <c:pt idx="7">
                  <c:v>0</c:v>
                </c:pt>
              </c:numCache>
            </c:numRef>
          </c:val>
          <c:extLst>
            <c:ext xmlns:c15="http://schemas.microsoft.com/office/drawing/2012/chart" uri="{02D57815-91ED-43cb-92C2-25804820EDAC}">
              <c15:datalabelsRange>
                <c15:f>Grafiekblad!$G$72:$G$79</c15:f>
                <c15:dlblRangeCache>
                  <c:ptCount val="8"/>
                  <c:pt idx="0">
                    <c:v> € -   </c:v>
                  </c:pt>
                  <c:pt idx="1">
                    <c:v> € -   </c:v>
                  </c:pt>
                  <c:pt idx="2">
                    <c:v> € 10.000 </c:v>
                  </c:pt>
                  <c:pt idx="3">
                    <c:v> € 10.000 </c:v>
                  </c:pt>
                  <c:pt idx="4">
                    <c:v> € 10.000 </c:v>
                  </c:pt>
                  <c:pt idx="5">
                    <c:v> € 10.000 </c:v>
                  </c:pt>
                  <c:pt idx="6">
                    <c:v> € -   </c:v>
                  </c:pt>
                  <c:pt idx="7">
                    <c:v> € -   </c:v>
                  </c:pt>
                </c15:dlblRangeCache>
              </c15:datalabelsRange>
            </c:ext>
            <c:ext xmlns:c16="http://schemas.microsoft.com/office/drawing/2014/chart" uri="{C3380CC4-5D6E-409C-BE32-E72D297353CC}">
              <c16:uniqueId val="{00000023-F529-485E-80AE-01A9AE143884}"/>
            </c:ext>
          </c:extLst>
        </c:ser>
        <c:ser>
          <c:idx val="4"/>
          <c:order val="4"/>
          <c:tx>
            <c:strRef>
              <c:f>Grafiekblad!$Q$71</c:f>
              <c:strCache>
                <c:ptCount val="1"/>
                <c:pt idx="0">
                  <c:v>0</c:v>
                </c:pt>
              </c:strCache>
            </c:strRef>
          </c:tx>
          <c:spPr>
            <a:solidFill>
              <a:schemeClr val="accent5"/>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Grafiekblad!$Q$72:$Q$79</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2C-F529-485E-80AE-01A9AE143884}"/>
            </c:ext>
          </c:extLst>
        </c:ser>
        <c:ser>
          <c:idx val="5"/>
          <c:order val="5"/>
          <c:tx>
            <c:strRef>
              <c:f>Grafiekblad!$R$71</c:f>
              <c:strCache>
                <c:ptCount val="1"/>
              </c:strCache>
            </c:strRef>
          </c:tx>
          <c:spPr>
            <a:solidFill>
              <a:schemeClr val="accent6"/>
            </a:solidFill>
            <a:ln>
              <a:noFill/>
            </a:ln>
            <a:effectLst/>
          </c:spPr>
          <c:invertIfNegative val="0"/>
          <c:cat>
            <c:strRef>
              <c:f>Grafiekblad!$K$72:$K$79</c:f>
              <c:strCache>
                <c:ptCount val="4"/>
                <c:pt idx="0">
                  <c:v>1e ziektejaar</c:v>
                </c:pt>
                <c:pt idx="1">
                  <c:v>2e ziektejaar</c:v>
                </c:pt>
                <c:pt idx="2">
                  <c:v>Vanaf 3e jaar (max. 24 maanden)</c:v>
                </c:pt>
                <c:pt idx="3">
                  <c:v>Tot AOW leeftijd</c:v>
                </c:pt>
              </c:strCache>
            </c:strRef>
          </c:cat>
          <c:val>
            <c:numRef>
              <c:f>Grafiekblad!$R$72:$R$79</c:f>
              <c:numCache>
                <c:formatCode>General</c:formatCode>
                <c:ptCount val="8"/>
              </c:numCache>
            </c:numRef>
          </c:val>
          <c:extLst>
            <c:ext xmlns:c16="http://schemas.microsoft.com/office/drawing/2014/chart" uri="{C3380CC4-5D6E-409C-BE32-E72D297353CC}">
              <c16:uniqueId val="{0000002D-F529-485E-80AE-01A9AE143884}"/>
            </c:ext>
          </c:extLst>
        </c:ser>
        <c:ser>
          <c:idx val="6"/>
          <c:order val="6"/>
          <c:tx>
            <c:strRef>
              <c:f>Grafiekblad!$M$71</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3977-4146-B00F-334B3433468D}"/>
                </c:ext>
              </c:extLst>
            </c:dLbl>
            <c:dLbl>
              <c:idx val="1"/>
              <c:tx>
                <c:rich>
                  <a:bodyPr/>
                  <a:lstStyle/>
                  <a:p>
                    <a:fld id="{C02E4707-7607-400A-A9F9-BD28D236E3C8}"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977-4146-B00F-334B3433468D}"/>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3977-4146-B00F-334B3433468D}"/>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3977-4146-B00F-334B3433468D}"/>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3977-4146-B00F-334B3433468D}"/>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3977-4146-B00F-334B3433468D}"/>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3977-4146-B00F-334B3433468D}"/>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3977-4146-B00F-334B3433468D}"/>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Grafiekblad!$M$72:$M$79</c:f>
              <c:numCache>
                <c:formatCode>0%</c:formatCode>
                <c:ptCount val="8"/>
                <c:pt idx="1">
                  <c:v>0.3</c:v>
                </c:pt>
              </c:numCache>
            </c:numRef>
          </c:val>
          <c:extLst>
            <c:ext xmlns:c15="http://schemas.microsoft.com/office/drawing/2012/chart" uri="{02D57815-91ED-43cb-92C2-25804820EDAC}">
              <c15:datalabelsRange>
                <c15:f>Grafiekblad!$D$72:$D$79</c15:f>
                <c15:dlblRangeCache>
                  <c:ptCount val="8"/>
                  <c:pt idx="1">
                    <c:v> € 12.000 </c:v>
                  </c:pt>
                </c15:dlblRangeCache>
              </c15:datalabelsRange>
            </c:ext>
            <c:ext xmlns:c16="http://schemas.microsoft.com/office/drawing/2014/chart" uri="{C3380CC4-5D6E-409C-BE32-E72D297353CC}">
              <c16:uniqueId val="{00000004-3977-4146-B00F-334B3433468D}"/>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chemeClr val="tx1">
                <a:lumMod val="65000"/>
                <a:lumOff val="35000"/>
              </a:schemeClr>
            </a:solidFill>
            <a:ln>
              <a:noFill/>
            </a:ln>
            <a:effectLst/>
          </c:spPr>
          <c:invertIfNegative val="0"/>
          <c:dLbls>
            <c:dLbl>
              <c:idx val="0"/>
              <c:tx>
                <c:rich>
                  <a:bodyPr/>
                  <a:lstStyle/>
                  <a:p>
                    <a:fld id="{F53BB1F6-DBA7-4690-989A-DE606B0CB270}"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84A-481F-A9B4-9A0E5CEBB338}"/>
                </c:ext>
              </c:extLst>
            </c:dLbl>
            <c:dLbl>
              <c:idx val="1"/>
              <c:tx>
                <c:rich>
                  <a:bodyPr/>
                  <a:lstStyle/>
                  <a:p>
                    <a:fld id="{C3591098-E30C-4DBF-97C0-C1DC90671A5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84A-481F-A9B4-9A0E5CEBB338}"/>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B84A-481F-A9B4-9A0E5CEBB338}"/>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B84A-481F-A9B4-9A0E5CEBB338}"/>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B84A-481F-A9B4-9A0E5CEBB338}"/>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B84A-481F-A9B4-9A0E5CEBB338}"/>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B84A-481F-A9B4-9A0E5CEBB338}"/>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Grafiekblad!$L$30:$L$37</c:f>
              <c:numCache>
                <c:formatCode>0%</c:formatCode>
                <c:ptCount val="8"/>
                <c:pt idx="0">
                  <c:v>1</c:v>
                </c:pt>
                <c:pt idx="1">
                  <c:v>0.7</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B84A-481F-A9B4-9A0E5CEBB338}"/>
            </c:ext>
          </c:extLst>
        </c:ser>
        <c:ser>
          <c:idx val="5"/>
          <c:order val="1"/>
          <c:tx>
            <c:strRef>
              <c:f>Grafiekblad!$M$29</c:f>
              <c:strCache>
                <c:ptCount val="1"/>
                <c:pt idx="0">
                  <c:v>CAO-aanvulling*</c:v>
                </c:pt>
              </c:strCache>
            </c:strRef>
          </c:tx>
          <c:spPr>
            <a:pattFill prst="pct20">
              <a:fgClr>
                <a:srgbClr val="595959"/>
              </a:fgClr>
              <a:bgClr>
                <a:schemeClr val="bg1"/>
              </a:bgClr>
            </a:pattFill>
            <a:ln>
              <a:solidFill>
                <a:srgbClr val="595959"/>
              </a:solid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76B3-417B-880D-9DA396DD5CFC}"/>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fld id="{6E472F98-F645-4CF9-82F5-9DD328ACFA3C}" type="CELLRANGE">
                      <a:rPr lang="nl-NL"/>
                      <a:pPr>
                        <a:defRPr>
                          <a:solidFill>
                            <a:srgbClr val="595959"/>
                          </a:solidFill>
                          <a:latin typeface="Muli Light" panose="00000400000000000000" pitchFamily="2" charset="0"/>
                        </a:defRPr>
                      </a:pPr>
                      <a:t>[CELLRANGE]</a:t>
                    </a:fld>
                    <a:endParaRPr lang="nl-NL"/>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6B3-417B-880D-9DA396DD5CFC}"/>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76B3-417B-880D-9DA396DD5CFC}"/>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76B3-417B-880D-9DA396DD5CFC}"/>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76B3-417B-880D-9DA396DD5CFC}"/>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76B3-417B-880D-9DA396DD5CFC}"/>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76B3-417B-880D-9DA396DD5CFC}"/>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76B3-417B-880D-9DA396DD5C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Grafiekblad!$M$30:$M$37</c:f>
              <c:numCache>
                <c:formatCode>0%</c:formatCode>
                <c:ptCount val="8"/>
                <c:pt idx="1">
                  <c:v>0.3</c:v>
                </c:pt>
              </c:numCache>
            </c:numRef>
          </c:val>
          <c:extLst>
            <c:ext xmlns:c15="http://schemas.microsoft.com/office/drawing/2012/chart" uri="{02D57815-91ED-43cb-92C2-25804820EDAC}">
              <c15:datalabelsRange>
                <c15:f>Grafiekblad!$D$30:$D$37</c15:f>
                <c15:dlblRangeCache>
                  <c:ptCount val="8"/>
                  <c:pt idx="1">
                    <c:v> € 12.000 </c:v>
                  </c:pt>
                </c15:dlblRangeCache>
              </c15:datalabelsRange>
            </c:ext>
            <c:ext xmlns:c16="http://schemas.microsoft.com/office/drawing/2014/chart" uri="{C3380CC4-5D6E-409C-BE32-E72D297353CC}">
              <c16:uniqueId val="{00000000-76B3-417B-880D-9DA396DD5CFC}"/>
            </c:ext>
          </c:extLst>
        </c:ser>
        <c:ser>
          <c:idx val="1"/>
          <c:order val="2"/>
          <c:tx>
            <c:strRef>
              <c:f>Grafiekblad!$N$8</c:f>
              <c:strCache>
                <c:ptCount val="1"/>
                <c:pt idx="0">
                  <c:v>Nieuw loon</c:v>
                </c:pt>
              </c:strCache>
            </c:strRef>
          </c:tx>
          <c:spPr>
            <a:solidFill>
              <a:srgbClr val="DDDDD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B84A-481F-A9B4-9A0E5CEBB338}"/>
                </c:ext>
              </c:extLst>
            </c:dLbl>
            <c:dLbl>
              <c:idx val="2"/>
              <c:tx>
                <c:rich>
                  <a:bodyPr/>
                  <a:lstStyle/>
                  <a:p>
                    <a:fld id="{DFDADA15-8A8A-42AE-8AD6-6BC25B0B3F45}"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0C-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0D-B84A-481F-A9B4-9A0E5CEBB338}"/>
                </c:ext>
              </c:extLst>
            </c:dLbl>
            <c:dLbl>
              <c:idx val="5"/>
              <c:tx>
                <c:rich>
                  <a:bodyPr/>
                  <a:lstStyle/>
                  <a:p>
                    <a:fld id="{08300537-58C3-468C-98E6-A69246457953}"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0F-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10-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Grafiekblad!$N$30:$N$37</c:f>
              <c:numCache>
                <c:formatCode>0%</c:formatCode>
                <c:ptCount val="8"/>
                <c:pt idx="2">
                  <c:v>0.25</c:v>
                </c:pt>
                <c:pt idx="3">
                  <c:v>0.25</c:v>
                </c:pt>
                <c:pt idx="4">
                  <c:v>0.25</c:v>
                </c:pt>
                <c:pt idx="5">
                  <c:v>0.25</c:v>
                </c:pt>
                <c:pt idx="6">
                  <c:v>0.25</c:v>
                </c:pt>
                <c:pt idx="7">
                  <c:v>0.25</c:v>
                </c:pt>
              </c:numCache>
            </c:numRef>
          </c:val>
          <c:extLst>
            <c:ext xmlns:c15="http://schemas.microsoft.com/office/drawing/2012/chart" uri="{02D57815-91ED-43cb-92C2-25804820EDAC}">
              <c15:datalabelsRange>
                <c15:f>Grafiekblad!$E$30:$E$37</c15:f>
                <c15:dlblRangeCache>
                  <c:ptCount val="8"/>
                  <c:pt idx="0">
                    <c:v> € -   </c:v>
                  </c:pt>
                  <c:pt idx="1">
                    <c:v> € -   </c:v>
                  </c:pt>
                  <c:pt idx="2">
                    <c:v> € 10.000 </c:v>
                  </c:pt>
                  <c:pt idx="3">
                    <c:v> € 10.000 </c:v>
                  </c:pt>
                  <c:pt idx="4">
                    <c:v> € 10.000 </c:v>
                  </c:pt>
                  <c:pt idx="5">
                    <c:v> € 10.000 </c:v>
                  </c:pt>
                  <c:pt idx="6">
                    <c:v> € 10.000 </c:v>
                  </c:pt>
                  <c:pt idx="7">
                    <c:v> € 10.000 </c:v>
                  </c:pt>
                </c15:dlblRangeCache>
              </c15:datalabelsRange>
            </c:ext>
            <c:ext xmlns:c16="http://schemas.microsoft.com/office/drawing/2014/chart" uri="{C3380CC4-5D6E-409C-BE32-E72D297353CC}">
              <c16:uniqueId val="{00000011-B84A-481F-A9B4-9A0E5CEBB338}"/>
            </c:ext>
          </c:extLst>
        </c:ser>
        <c:ser>
          <c:idx val="2"/>
          <c:order val="3"/>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B84A-481F-A9B4-9A0E5CEBB338}"/>
                </c:ext>
              </c:extLst>
            </c:dLbl>
            <c:dLbl>
              <c:idx val="2"/>
              <c:tx>
                <c:rich>
                  <a:bodyPr/>
                  <a:lstStyle/>
                  <a:p>
                    <a:fld id="{780445CD-5B3D-4E18-BD72-FB1B1215D4C7}"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15-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16-B84A-481F-A9B4-9A0E5CEBB338}"/>
                </c:ext>
              </c:extLst>
            </c:dLbl>
            <c:dLbl>
              <c:idx val="5"/>
              <c:tx>
                <c:rich>
                  <a:bodyPr/>
                  <a:lstStyle/>
                  <a:p>
                    <a:fld id="{C4BD0302-C0CC-4869-AE1F-F406CA1F53C4}"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18-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19-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Grafiekblad!$O$30:$O$37</c:f>
              <c:numCache>
                <c:formatCode>0%</c:formatCode>
                <c:ptCount val="8"/>
                <c:pt idx="2">
                  <c:v>0.52500000000000002</c:v>
                </c:pt>
                <c:pt idx="3">
                  <c:v>0.35</c:v>
                </c:pt>
                <c:pt idx="4">
                  <c:v>0.35</c:v>
                </c:pt>
                <c:pt idx="5">
                  <c:v>0.35</c:v>
                </c:pt>
                <c:pt idx="6">
                  <c:v>0.35</c:v>
                </c:pt>
                <c:pt idx="7">
                  <c:v>0.35</c:v>
                </c:pt>
              </c:numCache>
            </c:numRef>
          </c:val>
          <c:extLst>
            <c:ext xmlns:c15="http://schemas.microsoft.com/office/drawing/2012/chart" uri="{02D57815-91ED-43cb-92C2-25804820EDAC}">
              <c15:datalabelsRange>
                <c15:f>Grafiekblad!$F$30:$F$37</c15:f>
                <c15:dlblRangeCache>
                  <c:ptCount val="8"/>
                  <c:pt idx="0">
                    <c:v> € -   </c:v>
                  </c:pt>
                  <c:pt idx="1">
                    <c:v> € -   </c:v>
                  </c:pt>
                  <c:pt idx="2">
                    <c:v> € 21.000 </c:v>
                  </c:pt>
                  <c:pt idx="3">
                    <c:v> € 14.000 </c:v>
                  </c:pt>
                  <c:pt idx="4">
                    <c:v> € 14.000 </c:v>
                  </c:pt>
                  <c:pt idx="5">
                    <c:v> € 14.000 </c:v>
                  </c:pt>
                  <c:pt idx="6">
                    <c:v> € 14.000 </c:v>
                  </c:pt>
                  <c:pt idx="7">
                    <c:v> € 14.000 </c:v>
                  </c:pt>
                </c15:dlblRangeCache>
              </c15:datalabelsRange>
            </c:ext>
            <c:ext xmlns:c16="http://schemas.microsoft.com/office/drawing/2014/chart" uri="{C3380CC4-5D6E-409C-BE32-E72D297353CC}">
              <c16:uniqueId val="{0000001A-B84A-481F-A9B4-9A0E5CEBB338}"/>
            </c:ext>
          </c:extLst>
        </c:ser>
        <c:ser>
          <c:idx val="3"/>
          <c:order val="4"/>
          <c:tx>
            <c:strRef>
              <c:f>Grafiekblad!$P$8</c:f>
              <c:strCache>
                <c:ptCount val="1"/>
                <c:pt idx="0">
                  <c:v>WGA Hiaat Uitgebreid</c:v>
                </c:pt>
              </c:strCache>
            </c:strRef>
          </c:tx>
          <c:spPr>
            <a:solidFill>
              <a:srgbClr val="4FB4E7"/>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B84A-481F-A9B4-9A0E5CEBB338}"/>
                </c:ext>
              </c:extLst>
            </c:dLbl>
            <c:dLbl>
              <c:idx val="2"/>
              <c:tx>
                <c:rich>
                  <a:bodyPr/>
                  <a:lstStyle/>
                  <a:p>
                    <a:fld id="{0F1AF3B8-F240-463F-A5DB-881D68E140AF}"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1E-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1F-B84A-481F-A9B4-9A0E5CEBB338}"/>
                </c:ext>
              </c:extLst>
            </c:dLbl>
            <c:dLbl>
              <c:idx val="5"/>
              <c:tx>
                <c:rich>
                  <a:bodyPr/>
                  <a:lstStyle/>
                  <a:p>
                    <a:fld id="{44FC2712-151D-4863-ABA1-3DFE3926233C}"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21-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22-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Grafiekblad!$P$30:$P$37</c:f>
              <c:numCache>
                <c:formatCode>0%</c:formatCode>
                <c:ptCount val="8"/>
                <c:pt idx="2">
                  <c:v>0.05</c:v>
                </c:pt>
                <c:pt idx="3">
                  <c:v>0.22500000000000001</c:v>
                </c:pt>
                <c:pt idx="4">
                  <c:v>0.22500000000000001</c:v>
                </c:pt>
                <c:pt idx="5">
                  <c:v>0.22500000000000001</c:v>
                </c:pt>
                <c:pt idx="6">
                  <c:v>0.22500000000000001</c:v>
                </c:pt>
                <c:pt idx="7">
                  <c:v>0.22500000000000001</c:v>
                </c:pt>
              </c:numCache>
            </c:numRef>
          </c:val>
          <c:extLst>
            <c:ext xmlns:c15="http://schemas.microsoft.com/office/drawing/2012/chart" uri="{02D57815-91ED-43cb-92C2-25804820EDAC}">
              <c15:datalabelsRange>
                <c15:f>Grafiekblad!$G$30:$G$37</c15:f>
                <c15:dlblRangeCache>
                  <c:ptCount val="8"/>
                  <c:pt idx="0">
                    <c:v> € -   </c:v>
                  </c:pt>
                  <c:pt idx="1">
                    <c:v> € -   </c:v>
                  </c:pt>
                  <c:pt idx="2">
                    <c:v> € 2.000 </c:v>
                  </c:pt>
                  <c:pt idx="3">
                    <c:v> € 9.000 </c:v>
                  </c:pt>
                  <c:pt idx="4">
                    <c:v> € 9.000 </c:v>
                  </c:pt>
                  <c:pt idx="5">
                    <c:v> € 9.000 </c:v>
                  </c:pt>
                  <c:pt idx="6">
                    <c:v> € 9.000 </c:v>
                  </c:pt>
                  <c:pt idx="7">
                    <c:v> € 9.000 </c:v>
                  </c:pt>
                </c15:dlblRangeCache>
              </c15:datalabelsRange>
            </c:ext>
            <c:ext xmlns:c16="http://schemas.microsoft.com/office/drawing/2014/chart" uri="{C3380CC4-5D6E-409C-BE32-E72D297353CC}">
              <c16:uniqueId val="{00000023-B84A-481F-A9B4-9A0E5CEBB338}"/>
            </c:ext>
          </c:extLst>
        </c:ser>
        <c:ser>
          <c:idx val="4"/>
          <c:order val="5"/>
          <c:tx>
            <c:strRef>
              <c:f>Grafiekblad!$Q$8</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B84A-481F-A9B4-9A0E5CEBB338}"/>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B84A-481F-A9B4-9A0E5CEBB338}"/>
                </c:ext>
              </c:extLst>
            </c:dLbl>
            <c:dLbl>
              <c:idx val="2"/>
              <c:tx>
                <c:rich>
                  <a:bodyPr/>
                  <a:lstStyle/>
                  <a:p>
                    <a:fld id="{CA408693-5CAB-48AD-AAE9-697AA4D2918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B84A-481F-A9B4-9A0E5CEBB338}"/>
                </c:ext>
              </c:extLst>
            </c:dLbl>
            <c:dLbl>
              <c:idx val="3"/>
              <c:delete val="1"/>
              <c:extLst>
                <c:ext xmlns:c15="http://schemas.microsoft.com/office/drawing/2012/chart" uri="{CE6537A1-D6FC-4f65-9D91-7224C49458BB}"/>
                <c:ext xmlns:c16="http://schemas.microsoft.com/office/drawing/2014/chart" uri="{C3380CC4-5D6E-409C-BE32-E72D297353CC}">
                  <c16:uniqueId val="{00000027-B84A-481F-A9B4-9A0E5CEBB338}"/>
                </c:ext>
              </c:extLst>
            </c:dLbl>
            <c:dLbl>
              <c:idx val="4"/>
              <c:delete val="1"/>
              <c:extLst>
                <c:ext xmlns:c15="http://schemas.microsoft.com/office/drawing/2012/chart" uri="{CE6537A1-D6FC-4f65-9D91-7224C49458BB}"/>
                <c:ext xmlns:c16="http://schemas.microsoft.com/office/drawing/2014/chart" uri="{C3380CC4-5D6E-409C-BE32-E72D297353CC}">
                  <c16:uniqueId val="{00000028-B84A-481F-A9B4-9A0E5CEBB338}"/>
                </c:ext>
              </c:extLst>
            </c:dLbl>
            <c:dLbl>
              <c:idx val="5"/>
              <c:tx>
                <c:rich>
                  <a:bodyPr/>
                  <a:lstStyle/>
                  <a:p>
                    <a:fld id="{B015CA62-7B14-439F-BB9E-9934FCC7E710}"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B84A-481F-A9B4-9A0E5CEBB338}"/>
                </c:ext>
              </c:extLst>
            </c:dLbl>
            <c:dLbl>
              <c:idx val="6"/>
              <c:delete val="1"/>
              <c:extLst>
                <c:ext xmlns:c15="http://schemas.microsoft.com/office/drawing/2012/chart" uri="{CE6537A1-D6FC-4f65-9D91-7224C49458BB}"/>
                <c:ext xmlns:c16="http://schemas.microsoft.com/office/drawing/2014/chart" uri="{C3380CC4-5D6E-409C-BE32-E72D297353CC}">
                  <c16:uniqueId val="{0000002A-B84A-481F-A9B4-9A0E5CEBB338}"/>
                </c:ext>
              </c:extLst>
            </c:dLbl>
            <c:dLbl>
              <c:idx val="7"/>
              <c:delete val="1"/>
              <c:extLst>
                <c:ext xmlns:c15="http://schemas.microsoft.com/office/drawing/2012/chart" uri="{CE6537A1-D6FC-4f65-9D91-7224C49458BB}"/>
                <c:ext xmlns:c16="http://schemas.microsoft.com/office/drawing/2014/chart" uri="{C3380CC4-5D6E-409C-BE32-E72D297353CC}">
                  <c16:uniqueId val="{0000002B-B84A-481F-A9B4-9A0E5CEBB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Grafiekblad!$Q$30:$Q$37</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2C-B84A-481F-A9B4-9A0E5CEBB338}"/>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Grafiekblad!$L$8</c:f>
              <c:strCache>
                <c:ptCount val="1"/>
                <c:pt idx="0">
                  <c:v>Loondoorbetaling bij ziekte</c:v>
                </c:pt>
              </c:strCache>
            </c:strRef>
          </c:tx>
          <c:spPr>
            <a:solidFill>
              <a:srgbClr val="595959"/>
            </a:solidFill>
            <a:ln>
              <a:noFill/>
            </a:ln>
            <a:effectLst/>
          </c:spPr>
          <c:invertIfNegative val="0"/>
          <c:dLbls>
            <c:dLbl>
              <c:idx val="0"/>
              <c:tx>
                <c:rich>
                  <a:bodyPr/>
                  <a:lstStyle/>
                  <a:p>
                    <a:fld id="{03FFFFA7-1D04-4483-9DB4-2AAD65A7E54F}" type="CELLRANGE">
                      <a:rPr lang="en-US"/>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151-4E1B-BD6F-955971E72680}"/>
                </c:ext>
              </c:extLst>
            </c:dLbl>
            <c:dLbl>
              <c:idx val="1"/>
              <c:tx>
                <c:rich>
                  <a:bodyPr/>
                  <a:lstStyle/>
                  <a:p>
                    <a:fld id="{E698D9BA-C91F-4B70-A888-D6BFBA68F842}"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151-4E1B-BD6F-955971E72680}"/>
                </c:ext>
              </c:extLst>
            </c:dLbl>
            <c:dLbl>
              <c:idx val="2"/>
              <c:delete val="1"/>
              <c:extLst>
                <c:ext xmlns:c15="http://schemas.microsoft.com/office/drawing/2012/chart" uri="{CE6537A1-D6FC-4f65-9D91-7224C49458BB}"/>
                <c:ext xmlns:c16="http://schemas.microsoft.com/office/drawing/2014/chart" uri="{C3380CC4-5D6E-409C-BE32-E72D297353CC}">
                  <c16:uniqueId val="{00000002-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03-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04-9151-4E1B-BD6F-955971E72680}"/>
                </c:ext>
              </c:extLst>
            </c:dLbl>
            <c:dLbl>
              <c:idx val="5"/>
              <c:delete val="1"/>
              <c:extLst>
                <c:ext xmlns:c15="http://schemas.microsoft.com/office/drawing/2012/chart" uri="{CE6537A1-D6FC-4f65-9D91-7224C49458BB}"/>
                <c:ext xmlns:c16="http://schemas.microsoft.com/office/drawing/2014/chart" uri="{C3380CC4-5D6E-409C-BE32-E72D297353CC}">
                  <c16:uniqueId val="{00000005-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06-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07-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Grafiekblad!$L$9:$L$16</c:f>
              <c:numCache>
                <c:formatCode>0%</c:formatCode>
                <c:ptCount val="8"/>
                <c:pt idx="0">
                  <c:v>1</c:v>
                </c:pt>
                <c:pt idx="1">
                  <c:v>0.7</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Grafiekblad!$C$9:$C$16</c15:f>
                <c15:dlblRangeCache>
                  <c:ptCount val="8"/>
                  <c:pt idx="0">
                    <c:v> € 40.000 </c:v>
                  </c:pt>
                  <c:pt idx="1">
                    <c:v> € 28.000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8-9151-4E1B-BD6F-955971E72680}"/>
            </c:ext>
          </c:extLst>
        </c:ser>
        <c:ser>
          <c:idx val="1"/>
          <c:order val="1"/>
          <c:tx>
            <c:strRef>
              <c:f>Grafiekblad!$M$8</c:f>
              <c:strCache>
                <c:ptCount val="1"/>
                <c:pt idx="0">
                  <c:v>CAO-aanvulling*</c:v>
                </c:pt>
              </c:strCache>
            </c:strRef>
          </c:tx>
          <c:spPr>
            <a:solidFill>
              <a:srgbClr val="595959"/>
            </a:solidFill>
            <a:ln>
              <a:solidFill>
                <a:srgbClr val="595959"/>
              </a:solidFill>
            </a:ln>
            <a:effectLst/>
          </c:spPr>
          <c:invertIfNegative val="0"/>
          <c:dPt>
            <c:idx val="1"/>
            <c:invertIfNegative val="0"/>
            <c:bubble3D val="0"/>
            <c:spPr>
              <a:pattFill prst="pct20">
                <a:fgClr>
                  <a:srgbClr val="595959"/>
                </a:fgClr>
                <a:bgClr>
                  <a:schemeClr val="bg1"/>
                </a:bgClr>
              </a:pattFill>
              <a:ln>
                <a:solidFill>
                  <a:srgbClr val="595959"/>
                </a:solidFill>
              </a:ln>
              <a:effectLst/>
            </c:spPr>
            <c:extLst>
              <c:ext xmlns:c16="http://schemas.microsoft.com/office/drawing/2014/chart" uri="{C3380CC4-5D6E-409C-BE32-E72D297353CC}">
                <c16:uniqueId val="{00000001-9E78-448C-BE98-8750AE3AC20F}"/>
              </c:ext>
            </c:extLst>
          </c:dPt>
          <c:dLbls>
            <c:dLbl>
              <c:idx val="0"/>
              <c:delete val="1"/>
              <c:extLst>
                <c:ext xmlns:c15="http://schemas.microsoft.com/office/drawing/2012/chart" uri="{CE6537A1-D6FC-4f65-9D91-7224C49458BB}"/>
                <c:ext xmlns:c16="http://schemas.microsoft.com/office/drawing/2014/chart" uri="{C3380CC4-5D6E-409C-BE32-E72D297353CC}">
                  <c16:uniqueId val="{00000002-9E78-448C-BE98-8750AE3AC20F}"/>
                </c:ext>
              </c:extLst>
            </c:dLbl>
            <c:dLbl>
              <c:idx val="1"/>
              <c:tx>
                <c:rich>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fld id="{6BEB0371-A563-444F-A4D7-FAAF09886A0C}" type="CELLRANGE">
                      <a:rPr lang="en-US"/>
                      <a:pPr>
                        <a:defRPr>
                          <a:solidFill>
                            <a:srgbClr val="595959"/>
                          </a:solidFill>
                          <a:latin typeface="Muli Light" panose="00000400000000000000" pitchFamily="2" charset="0"/>
                        </a:defRPr>
                      </a:pPr>
                      <a:t>[CELLRANGE]</a:t>
                    </a:fld>
                    <a:endParaRPr lang="nl-NL"/>
                  </a:p>
                </c:rich>
              </c:tx>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595959"/>
                      </a:solidFill>
                      <a:latin typeface="Muli Light" panose="00000400000000000000" pitchFamily="2" charset="0"/>
                      <a:ea typeface="+mn-ea"/>
                      <a:cs typeface="+mn-cs"/>
                    </a:defRPr>
                  </a:pPr>
                  <a:endParaRPr lang="nl-NL"/>
                </a:p>
              </c:txP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9E78-448C-BE98-8750AE3AC20F}"/>
                </c:ext>
              </c:extLst>
            </c:dLbl>
            <c:dLbl>
              <c:idx val="2"/>
              <c:delete val="1"/>
              <c:extLst>
                <c:ext xmlns:c15="http://schemas.microsoft.com/office/drawing/2012/chart" uri="{CE6537A1-D6FC-4f65-9D91-7224C49458BB}"/>
                <c:ext xmlns:c16="http://schemas.microsoft.com/office/drawing/2014/chart" uri="{C3380CC4-5D6E-409C-BE32-E72D297353CC}">
                  <c16:uniqueId val="{00000003-9E78-448C-BE98-8750AE3AC20F}"/>
                </c:ext>
              </c:extLst>
            </c:dLbl>
            <c:dLbl>
              <c:idx val="3"/>
              <c:delete val="1"/>
              <c:extLst>
                <c:ext xmlns:c15="http://schemas.microsoft.com/office/drawing/2012/chart" uri="{CE6537A1-D6FC-4f65-9D91-7224C49458BB}"/>
                <c:ext xmlns:c16="http://schemas.microsoft.com/office/drawing/2014/chart" uri="{C3380CC4-5D6E-409C-BE32-E72D297353CC}">
                  <c16:uniqueId val="{00000004-9E78-448C-BE98-8750AE3AC20F}"/>
                </c:ext>
              </c:extLst>
            </c:dLbl>
            <c:dLbl>
              <c:idx val="4"/>
              <c:delete val="1"/>
              <c:extLst>
                <c:ext xmlns:c15="http://schemas.microsoft.com/office/drawing/2012/chart" uri="{CE6537A1-D6FC-4f65-9D91-7224C49458BB}"/>
                <c:ext xmlns:c16="http://schemas.microsoft.com/office/drawing/2014/chart" uri="{C3380CC4-5D6E-409C-BE32-E72D297353CC}">
                  <c16:uniqueId val="{00000005-9E78-448C-BE98-8750AE3AC20F}"/>
                </c:ext>
              </c:extLst>
            </c:dLbl>
            <c:dLbl>
              <c:idx val="5"/>
              <c:delete val="1"/>
              <c:extLst>
                <c:ext xmlns:c15="http://schemas.microsoft.com/office/drawing/2012/chart" uri="{CE6537A1-D6FC-4f65-9D91-7224C49458BB}"/>
                <c:ext xmlns:c16="http://schemas.microsoft.com/office/drawing/2014/chart" uri="{C3380CC4-5D6E-409C-BE32-E72D297353CC}">
                  <c16:uniqueId val="{00000007-9E78-448C-BE98-8750AE3AC20F}"/>
                </c:ext>
              </c:extLst>
            </c:dLbl>
            <c:dLbl>
              <c:idx val="6"/>
              <c:delete val="1"/>
              <c:extLst>
                <c:ext xmlns:c15="http://schemas.microsoft.com/office/drawing/2012/chart" uri="{CE6537A1-D6FC-4f65-9D91-7224C49458BB}"/>
                <c:ext xmlns:c16="http://schemas.microsoft.com/office/drawing/2014/chart" uri="{C3380CC4-5D6E-409C-BE32-E72D297353CC}">
                  <c16:uniqueId val="{00000006-9E78-448C-BE98-8750AE3AC20F}"/>
                </c:ext>
              </c:extLst>
            </c:dLbl>
            <c:dLbl>
              <c:idx val="7"/>
              <c:delete val="1"/>
              <c:extLst>
                <c:ext xmlns:c15="http://schemas.microsoft.com/office/drawing/2012/chart" uri="{CE6537A1-D6FC-4f65-9D91-7224C49458BB}"/>
                <c:ext xmlns:c16="http://schemas.microsoft.com/office/drawing/2014/chart" uri="{C3380CC4-5D6E-409C-BE32-E72D297353CC}">
                  <c16:uniqueId val="{00000008-9E78-448C-BE98-8750AE3AC20F}"/>
                </c:ext>
              </c:extLst>
            </c:dLbl>
            <c:spPr>
              <a:solidFill>
                <a:srgbClr val="595959"/>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Grafiekblad!$M$9:$M$16</c:f>
              <c:numCache>
                <c:formatCode>0%</c:formatCode>
                <c:ptCount val="8"/>
                <c:pt idx="0">
                  <c:v>0</c:v>
                </c:pt>
                <c:pt idx="1">
                  <c:v>0.3</c:v>
                </c:pt>
                <c:pt idx="2">
                  <c:v>0</c:v>
                </c:pt>
                <c:pt idx="3">
                  <c:v>0</c:v>
                </c:pt>
                <c:pt idx="4">
                  <c:v>0</c:v>
                </c:pt>
                <c:pt idx="5">
                  <c:v>0</c:v>
                </c:pt>
                <c:pt idx="6">
                  <c:v>0</c:v>
                </c:pt>
                <c:pt idx="7">
                  <c:v>0</c:v>
                </c:pt>
              </c:numCache>
            </c:numRef>
          </c:val>
          <c:extLst>
            <c:ext xmlns:c15="http://schemas.microsoft.com/office/drawing/2012/chart" uri="{02D57815-91ED-43cb-92C2-25804820EDAC}">
              <c15:datalabelsRange>
                <c15:f>Grafiekblad!$D$9:$D$16</c15:f>
                <c15:dlblRangeCache>
                  <c:ptCount val="8"/>
                  <c:pt idx="1">
                    <c:v> € 12.000 </c:v>
                  </c:pt>
                </c15:dlblRangeCache>
              </c15:datalabelsRange>
            </c:ext>
            <c:ext xmlns:c16="http://schemas.microsoft.com/office/drawing/2014/chart" uri="{C3380CC4-5D6E-409C-BE32-E72D297353CC}">
              <c16:uniqueId val="{00000009-9151-4E1B-BD6F-955971E72680}"/>
            </c:ext>
          </c:extLst>
        </c:ser>
        <c:ser>
          <c:idx val="2"/>
          <c:order val="2"/>
          <c:tx>
            <c:strRef>
              <c:f>Grafiekblad!$N$8</c:f>
              <c:strCache>
                <c:ptCount val="1"/>
                <c:pt idx="0">
                  <c:v>Nieuw loon</c:v>
                </c:pt>
              </c:strCache>
            </c:strRef>
          </c:tx>
          <c:spPr>
            <a:solidFill>
              <a:srgbClr val="BCCEDB"/>
            </a:solidFill>
            <a:ln>
              <a:noFill/>
            </a:ln>
            <a:effectLst/>
          </c:spPr>
          <c:invertIfNegative val="0"/>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Grafiekblad!$N$9:$N$16</c:f>
              <c:numCache>
                <c:formatCode>0%</c:formatCode>
                <c:ptCount val="8"/>
                <c:pt idx="2">
                  <c:v>0</c:v>
                </c:pt>
                <c:pt idx="3">
                  <c:v>0</c:v>
                </c:pt>
                <c:pt idx="4">
                  <c:v>0</c:v>
                </c:pt>
                <c:pt idx="5">
                  <c:v>0</c:v>
                </c:pt>
                <c:pt idx="6">
                  <c:v>0</c:v>
                </c:pt>
                <c:pt idx="7">
                  <c:v>0</c:v>
                </c:pt>
              </c:numCache>
            </c:numRef>
          </c:val>
          <c:extLst>
            <c:ext xmlns:c16="http://schemas.microsoft.com/office/drawing/2014/chart" uri="{C3380CC4-5D6E-409C-BE32-E72D297353CC}">
              <c16:uniqueId val="{00000012-9151-4E1B-BD6F-955971E72680}"/>
            </c:ext>
          </c:extLst>
        </c:ser>
        <c:ser>
          <c:idx val="3"/>
          <c:order val="3"/>
          <c:tx>
            <c:strRef>
              <c:f>Grafiekblad!$O$8</c:f>
              <c:strCache>
                <c:ptCount val="1"/>
                <c:pt idx="0">
                  <c:v>WGA uitkering</c:v>
                </c:pt>
              </c:strCache>
            </c:strRef>
          </c:tx>
          <c:spPr>
            <a:solidFill>
              <a:schemeClr val="bg1">
                <a:lumMod val="50000"/>
              </a:schemeClr>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9151-4E1B-BD6F-955971E7268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9151-4E1B-BD6F-955971E72680}"/>
                </c:ext>
              </c:extLst>
            </c:dLbl>
            <c:dLbl>
              <c:idx val="2"/>
              <c:tx>
                <c:rich>
                  <a:bodyPr/>
                  <a:lstStyle/>
                  <a:p>
                    <a:fld id="{CA270F26-7DD9-46F7-9C79-E2F452F70211}"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16-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17-9151-4E1B-BD6F-955971E72680}"/>
                </c:ext>
              </c:extLst>
            </c:dLbl>
            <c:dLbl>
              <c:idx val="5"/>
              <c:tx>
                <c:rich>
                  <a:bodyPr/>
                  <a:lstStyle/>
                  <a:p>
                    <a:fld id="{62C48AE4-CEAB-45BD-9DAE-592D27DF0404}"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19-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1A-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Grafiekblad!$O$9:$O$16</c:f>
              <c:numCache>
                <c:formatCode>0%</c:formatCode>
                <c:ptCount val="8"/>
                <c:pt idx="2">
                  <c:v>0.7</c:v>
                </c:pt>
                <c:pt idx="3">
                  <c:v>0.24855249999999995</c:v>
                </c:pt>
                <c:pt idx="4">
                  <c:v>0.24855249999999995</c:v>
                </c:pt>
                <c:pt idx="5">
                  <c:v>0.24855249999999995</c:v>
                </c:pt>
                <c:pt idx="6">
                  <c:v>0.24855249999999995</c:v>
                </c:pt>
                <c:pt idx="7">
                  <c:v>0.24855249999999995</c:v>
                </c:pt>
              </c:numCache>
            </c:numRef>
          </c:val>
          <c:extLst>
            <c:ext xmlns:c15="http://schemas.microsoft.com/office/drawing/2012/chart" uri="{02D57815-91ED-43cb-92C2-25804820EDAC}">
              <c15:datalabelsRange>
                <c15:f>Grafiekblad!$F$9:$F$16</c15:f>
                <c15:dlblRangeCache>
                  <c:ptCount val="8"/>
                  <c:pt idx="0">
                    <c:v> € -   </c:v>
                  </c:pt>
                  <c:pt idx="1">
                    <c:v> € -   </c:v>
                  </c:pt>
                  <c:pt idx="2">
                    <c:v> € 28.000 </c:v>
                  </c:pt>
                  <c:pt idx="3">
                    <c:v> € 9.942 </c:v>
                  </c:pt>
                  <c:pt idx="4">
                    <c:v> € 9.942 </c:v>
                  </c:pt>
                  <c:pt idx="5">
                    <c:v> € 9.942 </c:v>
                  </c:pt>
                  <c:pt idx="6">
                    <c:v> € 9.942 </c:v>
                  </c:pt>
                  <c:pt idx="7">
                    <c:v> € 9.942 </c:v>
                  </c:pt>
                </c15:dlblRangeCache>
              </c15:datalabelsRange>
            </c:ext>
            <c:ext xmlns:c16="http://schemas.microsoft.com/office/drawing/2014/chart" uri="{C3380CC4-5D6E-409C-BE32-E72D297353CC}">
              <c16:uniqueId val="{0000001B-9151-4E1B-BD6F-955971E72680}"/>
            </c:ext>
          </c:extLst>
        </c:ser>
        <c:ser>
          <c:idx val="4"/>
          <c:order val="4"/>
          <c:tx>
            <c:strRef>
              <c:f>Grafiekblad!$P$8</c:f>
              <c:strCache>
                <c:ptCount val="1"/>
                <c:pt idx="0">
                  <c:v>WGA Hiaat Uitgebreid</c:v>
                </c:pt>
              </c:strCache>
            </c:strRef>
          </c:tx>
          <c:spPr>
            <a:solidFill>
              <a:srgbClr val="4FB4E7"/>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9151-4E1B-BD6F-955971E72680}"/>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9151-4E1B-BD6F-955971E72680}"/>
                </c:ext>
              </c:extLst>
            </c:dLbl>
            <c:dLbl>
              <c:idx val="2"/>
              <c:tx>
                <c:rich>
                  <a:bodyPr/>
                  <a:lstStyle/>
                  <a:p>
                    <a:fld id="{B851ED16-DF86-4B62-8944-48DE5CD261D6}"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9151-4E1B-BD6F-955971E72680}"/>
                </c:ext>
              </c:extLst>
            </c:dLbl>
            <c:dLbl>
              <c:idx val="3"/>
              <c:delete val="1"/>
              <c:extLst>
                <c:ext xmlns:c15="http://schemas.microsoft.com/office/drawing/2012/chart" uri="{CE6537A1-D6FC-4f65-9D91-7224C49458BB}"/>
                <c:ext xmlns:c16="http://schemas.microsoft.com/office/drawing/2014/chart" uri="{C3380CC4-5D6E-409C-BE32-E72D297353CC}">
                  <c16:uniqueId val="{0000001F-9151-4E1B-BD6F-955971E72680}"/>
                </c:ext>
              </c:extLst>
            </c:dLbl>
            <c:dLbl>
              <c:idx val="4"/>
              <c:delete val="1"/>
              <c:extLst>
                <c:ext xmlns:c15="http://schemas.microsoft.com/office/drawing/2012/chart" uri="{CE6537A1-D6FC-4f65-9D91-7224C49458BB}"/>
                <c:ext xmlns:c16="http://schemas.microsoft.com/office/drawing/2014/chart" uri="{C3380CC4-5D6E-409C-BE32-E72D297353CC}">
                  <c16:uniqueId val="{00000020-9151-4E1B-BD6F-955971E72680}"/>
                </c:ext>
              </c:extLst>
            </c:dLbl>
            <c:dLbl>
              <c:idx val="5"/>
              <c:tx>
                <c:rich>
                  <a:bodyPr/>
                  <a:lstStyle/>
                  <a:p>
                    <a:fld id="{7E174888-4903-4905-8162-AAEE8384A42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9151-4E1B-BD6F-955971E72680}"/>
                </c:ext>
              </c:extLst>
            </c:dLbl>
            <c:dLbl>
              <c:idx val="6"/>
              <c:delete val="1"/>
              <c:extLst>
                <c:ext xmlns:c15="http://schemas.microsoft.com/office/drawing/2012/chart" uri="{CE6537A1-D6FC-4f65-9D91-7224C49458BB}"/>
                <c:ext xmlns:c16="http://schemas.microsoft.com/office/drawing/2014/chart" uri="{C3380CC4-5D6E-409C-BE32-E72D297353CC}">
                  <c16:uniqueId val="{00000022-9151-4E1B-BD6F-955971E72680}"/>
                </c:ext>
              </c:extLst>
            </c:dLbl>
            <c:dLbl>
              <c:idx val="7"/>
              <c:delete val="1"/>
              <c:extLst>
                <c:ext xmlns:c15="http://schemas.microsoft.com/office/drawing/2012/chart" uri="{CE6537A1-D6FC-4f65-9D91-7224C49458BB}"/>
                <c:ext xmlns:c16="http://schemas.microsoft.com/office/drawing/2014/chart" uri="{C3380CC4-5D6E-409C-BE32-E72D297353CC}">
                  <c16:uniqueId val="{00000023-9151-4E1B-BD6F-955971E726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Grafiekblad!$P$9:$P$16</c:f>
              <c:numCache>
                <c:formatCode>0%</c:formatCode>
                <c:ptCount val="8"/>
                <c:pt idx="2">
                  <c:v>0</c:v>
                </c:pt>
                <c:pt idx="3">
                  <c:v>0.45144750000000006</c:v>
                </c:pt>
                <c:pt idx="4">
                  <c:v>0.45144750000000006</c:v>
                </c:pt>
                <c:pt idx="5">
                  <c:v>0.45144750000000006</c:v>
                </c:pt>
                <c:pt idx="6">
                  <c:v>0.45144750000000006</c:v>
                </c:pt>
                <c:pt idx="7">
                  <c:v>0.45144750000000006</c:v>
                </c:pt>
              </c:numCache>
            </c:numRef>
          </c:val>
          <c:extLst>
            <c:ext xmlns:c15="http://schemas.microsoft.com/office/drawing/2012/chart" uri="{02D57815-91ED-43cb-92C2-25804820EDAC}">
              <c15:datalabelsRange>
                <c15:f>Grafiekblad!$G$9:$G$16</c15:f>
                <c15:dlblRangeCache>
                  <c:ptCount val="8"/>
                  <c:pt idx="0">
                    <c:v> € -   </c:v>
                  </c:pt>
                  <c:pt idx="1">
                    <c:v> € -   </c:v>
                  </c:pt>
                  <c:pt idx="2">
                    <c:v> € -   </c:v>
                  </c:pt>
                  <c:pt idx="3">
                    <c:v> € 18.058 </c:v>
                  </c:pt>
                  <c:pt idx="4">
                    <c:v> € 18.058 </c:v>
                  </c:pt>
                  <c:pt idx="5">
                    <c:v> € 18.058 </c:v>
                  </c:pt>
                  <c:pt idx="6">
                    <c:v> € 18.058 </c:v>
                  </c:pt>
                  <c:pt idx="7">
                    <c:v> € 18.058 </c:v>
                  </c:pt>
                </c15:dlblRangeCache>
              </c15:datalabelsRange>
            </c:ext>
            <c:ext xmlns:c16="http://schemas.microsoft.com/office/drawing/2014/chart" uri="{C3380CC4-5D6E-409C-BE32-E72D297353CC}">
              <c16:uniqueId val="{00000024-9151-4E1B-BD6F-955971E72680}"/>
            </c:ext>
          </c:extLst>
        </c:ser>
        <c:ser>
          <c:idx val="5"/>
          <c:order val="5"/>
          <c:tx>
            <c:strRef>
              <c:f>Grafiekblad!$Q$8</c:f>
              <c:strCache>
                <c:ptCount val="1"/>
              </c:strCache>
            </c:strRef>
          </c:tx>
          <c:spPr>
            <a:solidFill>
              <a:srgbClr val="00519D"/>
            </a:solidFill>
            <a:ln>
              <a:noFill/>
            </a:ln>
            <a:effectLst/>
          </c:spPr>
          <c:invertIfNegative val="0"/>
          <c:dLbls>
            <c:dLbl>
              <c:idx val="0"/>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9E78-448C-BE98-8750AE3AC20F}"/>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9E78-448C-BE98-8750AE3AC20F}"/>
                </c:ext>
              </c:extLst>
            </c:dLbl>
            <c:dLbl>
              <c:idx val="2"/>
              <c:tx>
                <c:rich>
                  <a:bodyPr/>
                  <a:lstStyle/>
                  <a:p>
                    <a:fld id="{4195FF8C-6858-4242-BA27-60DC19B587FC}"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E78-448C-BE98-8750AE3AC20F}"/>
                </c:ext>
              </c:extLst>
            </c:dLbl>
            <c:dLbl>
              <c:idx val="3"/>
              <c:delete val="1"/>
              <c:extLst>
                <c:ext xmlns:c15="http://schemas.microsoft.com/office/drawing/2012/chart" uri="{CE6537A1-D6FC-4f65-9D91-7224C49458BB}"/>
                <c:ext xmlns:c16="http://schemas.microsoft.com/office/drawing/2014/chart" uri="{C3380CC4-5D6E-409C-BE32-E72D297353CC}">
                  <c16:uniqueId val="{00000002-DBC9-41B6-AF3D-BBCAED5696FA}"/>
                </c:ext>
              </c:extLst>
            </c:dLbl>
            <c:dLbl>
              <c:idx val="4"/>
              <c:delete val="1"/>
              <c:extLst>
                <c:ext xmlns:c15="http://schemas.microsoft.com/office/drawing/2012/chart" uri="{CE6537A1-D6FC-4f65-9D91-7224C49458BB}"/>
                <c:ext xmlns:c16="http://schemas.microsoft.com/office/drawing/2014/chart" uri="{C3380CC4-5D6E-409C-BE32-E72D297353CC}">
                  <c16:uniqueId val="{00000003-DBC9-41B6-AF3D-BBCAED5696FA}"/>
                </c:ext>
              </c:extLst>
            </c:dLbl>
            <c:dLbl>
              <c:idx val="5"/>
              <c:tx>
                <c:rich>
                  <a:bodyPr/>
                  <a:lstStyle/>
                  <a:p>
                    <a:fld id="{19852EF1-D31B-472C-BEE7-8329C0D145CB}" type="CELLRANGE">
                      <a:rPr lang="nl-NL"/>
                      <a:pPr/>
                      <a:t>[CELLRANGE]</a:t>
                    </a:fld>
                    <a:endParaRPr lang="nl-NL"/>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E78-448C-BE98-8750AE3AC20F}"/>
                </c:ext>
              </c:extLst>
            </c:dLbl>
            <c:dLbl>
              <c:idx val="6"/>
              <c:delete val="1"/>
              <c:extLst>
                <c:ext xmlns:c15="http://schemas.microsoft.com/office/drawing/2012/chart" uri="{CE6537A1-D6FC-4f65-9D91-7224C49458BB}"/>
                <c:ext xmlns:c16="http://schemas.microsoft.com/office/drawing/2014/chart" uri="{C3380CC4-5D6E-409C-BE32-E72D297353CC}">
                  <c16:uniqueId val="{00000004-DBC9-41B6-AF3D-BBCAED5696FA}"/>
                </c:ext>
              </c:extLst>
            </c:dLbl>
            <c:dLbl>
              <c:idx val="7"/>
              <c:delete val="1"/>
              <c:extLst>
                <c:ext xmlns:c15="http://schemas.microsoft.com/office/drawing/2012/chart" uri="{CE6537A1-D6FC-4f65-9D91-7224C49458BB}"/>
                <c:ext xmlns:c16="http://schemas.microsoft.com/office/drawing/2014/chart" uri="{C3380CC4-5D6E-409C-BE32-E72D297353CC}">
                  <c16:uniqueId val="{00000005-DBC9-41B6-AF3D-BBCAED5696F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uli Light" panose="00000400000000000000" pitchFamily="2" charset="0"/>
                    <a:ea typeface="Open Sans" panose="020B0606030504020204" pitchFamily="34" charset="0"/>
                    <a:cs typeface="Segoe UI" panose="020B0502040204020203" pitchFamily="34" charset="0"/>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Grafiekblad!$K$9:$K$16</c:f>
              <c:strCache>
                <c:ptCount val="8"/>
                <c:pt idx="0">
                  <c:v>1e ziektejaar</c:v>
                </c:pt>
                <c:pt idx="1">
                  <c:v>2e ziektejaar</c:v>
                </c:pt>
                <c:pt idx="2">
                  <c:v>Vanaf 3e jaar (max. 24 maanden)</c:v>
                </c:pt>
                <c:pt idx="3">
                  <c:v>Tot AOW leeftijd</c:v>
                </c:pt>
                <c:pt idx="4">
                  <c:v>Tot AOW leeftijd</c:v>
                </c:pt>
                <c:pt idx="5">
                  <c:v>Tot AOW leeftijd</c:v>
                </c:pt>
                <c:pt idx="6">
                  <c:v>Tot AOW leeftijd</c:v>
                </c:pt>
                <c:pt idx="7">
                  <c:v>Tot AOW leeftijd</c:v>
                </c:pt>
              </c:strCache>
            </c:strRef>
          </c:cat>
          <c:val>
            <c:numRef>
              <c:f>Grafiekblad!$Q$9:$Q$16</c:f>
              <c:numCache>
                <c:formatCode>0%</c:formatCode>
                <c:ptCount val="8"/>
                <c:pt idx="2">
                  <c:v>0</c:v>
                </c:pt>
                <c:pt idx="3">
                  <c:v>0</c:v>
                </c:pt>
                <c:pt idx="4">
                  <c:v>0</c:v>
                </c:pt>
                <c:pt idx="5">
                  <c:v>0</c:v>
                </c:pt>
                <c:pt idx="6">
                  <c:v>0</c:v>
                </c:pt>
                <c:pt idx="7">
                  <c:v>0</c:v>
                </c:pt>
              </c:numCache>
            </c:numRef>
          </c:val>
          <c:extLst>
            <c:ext xmlns:c15="http://schemas.microsoft.com/office/drawing/2012/chart" uri="{02D57815-91ED-43cb-92C2-25804820EDAC}">
              <c15:datalabelsRange>
                <c15:f>Grafiekblad!$H$9:$H$16</c15:f>
                <c15:dlblRangeCache>
                  <c:ptCount val="8"/>
                  <c:pt idx="0">
                    <c:v> € -   </c:v>
                  </c:pt>
                  <c:pt idx="1">
                    <c:v> € -   </c:v>
                  </c:pt>
                  <c:pt idx="2">
                    <c:v> € -   </c:v>
                  </c:pt>
                  <c:pt idx="3">
                    <c:v> € -   </c:v>
                  </c:pt>
                  <c:pt idx="4">
                    <c:v> € -   </c:v>
                  </c:pt>
                  <c:pt idx="5">
                    <c:v> € -   </c:v>
                  </c:pt>
                  <c:pt idx="6">
                    <c:v> € -   </c:v>
                  </c:pt>
                  <c:pt idx="7">
                    <c:v> € -   </c:v>
                  </c:pt>
                </c15:dlblRangeCache>
              </c15:datalabelsRange>
            </c:ext>
            <c:ext xmlns:c16="http://schemas.microsoft.com/office/drawing/2014/chart" uri="{C3380CC4-5D6E-409C-BE32-E72D297353CC}">
              <c16:uniqueId val="{00000000-9E78-448C-BE98-8750AE3AC20F}"/>
            </c:ext>
          </c:extLst>
        </c:ser>
        <c:dLbls>
          <c:showLegendKey val="0"/>
          <c:showVal val="0"/>
          <c:showCatName val="0"/>
          <c:showSerName val="0"/>
          <c:showPercent val="0"/>
          <c:showBubbleSize val="0"/>
        </c:dLbls>
        <c:gapWidth val="0"/>
        <c:overlap val="100"/>
        <c:axId val="1084761568"/>
        <c:axId val="1084762288"/>
      </c:barChart>
      <c:catAx>
        <c:axId val="1084761568"/>
        <c:scaling>
          <c:orientation val="minMax"/>
        </c:scaling>
        <c:delete val="1"/>
        <c:axPos val="b"/>
        <c:numFmt formatCode="General" sourceLinked="1"/>
        <c:majorTickMark val="none"/>
        <c:minorTickMark val="none"/>
        <c:tickLblPos val="nextTo"/>
        <c:crossAx val="1084762288"/>
        <c:crosses val="autoZero"/>
        <c:auto val="1"/>
        <c:lblAlgn val="ctr"/>
        <c:lblOffset val="100"/>
        <c:noMultiLvlLbl val="0"/>
      </c:catAx>
      <c:valAx>
        <c:axId val="1084762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Open Sans" panose="020B0606030504020204" pitchFamily="34" charset="0"/>
                <a:ea typeface="Open Sans" panose="020B0606030504020204" pitchFamily="34" charset="0"/>
                <a:cs typeface="Open Sans" panose="020B0606030504020204" pitchFamily="34" charset="0"/>
              </a:defRPr>
            </a:pPr>
            <a:endParaRPr lang="nl-NL"/>
          </a:p>
        </c:txPr>
        <c:crossAx val="1084761568"/>
        <c:crosses val="autoZero"/>
        <c:crossBetween val="between"/>
        <c:majorUnit val="0.2"/>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1.png"/><Relationship Id="rId7" Type="http://schemas.openxmlformats.org/officeDocument/2006/relationships/chart" Target="../charts/chart3.xml"/><Relationship Id="rId12"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svg"/><Relationship Id="rId11" Type="http://schemas.openxmlformats.org/officeDocument/2006/relationships/chart" Target="../charts/chart5.xml"/><Relationship Id="rId5" Type="http://schemas.openxmlformats.org/officeDocument/2006/relationships/image" Target="../media/image3.png"/><Relationship Id="rId10" Type="http://schemas.openxmlformats.org/officeDocument/2006/relationships/chart" Target="../charts/chart4.xml"/><Relationship Id="rId4" Type="http://schemas.openxmlformats.org/officeDocument/2006/relationships/image" Target="../media/image2.svg"/><Relationship Id="rId9" Type="http://schemas.openxmlformats.org/officeDocument/2006/relationships/image" Target="../media/image6.svg"/></Relationships>
</file>

<file path=xl/drawings/_rels/drawing2.xml.rels><?xml version="1.0" encoding="UTF-8" standalone="yes"?>
<Relationships xmlns="http://schemas.openxmlformats.org/package/2006/relationships"><Relationship Id="rId8" Type="http://schemas.openxmlformats.org/officeDocument/2006/relationships/image" Target="../media/image11.svg"/><Relationship Id="rId13" Type="http://schemas.openxmlformats.org/officeDocument/2006/relationships/image" Target="../media/image15.png"/><Relationship Id="rId3" Type="http://schemas.openxmlformats.org/officeDocument/2006/relationships/chart" Target="../charts/chart9.xml"/><Relationship Id="rId7" Type="http://schemas.openxmlformats.org/officeDocument/2006/relationships/image" Target="../media/image10.png"/><Relationship Id="rId12" Type="http://schemas.openxmlformats.org/officeDocument/2006/relationships/chart" Target="../charts/chart10.xml"/><Relationship Id="rId2" Type="http://schemas.openxmlformats.org/officeDocument/2006/relationships/chart" Target="../charts/chart8.xml"/><Relationship Id="rId16" Type="http://schemas.openxmlformats.org/officeDocument/2006/relationships/image" Target="../media/image18.svg"/><Relationship Id="rId1" Type="http://schemas.openxmlformats.org/officeDocument/2006/relationships/chart" Target="../charts/chart7.xml"/><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svg"/><Relationship Id="rId15" Type="http://schemas.openxmlformats.org/officeDocument/2006/relationships/image" Target="../media/image17.png"/><Relationship Id="rId10" Type="http://schemas.openxmlformats.org/officeDocument/2006/relationships/image" Target="../media/image13.sv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6.svg"/></Relationships>
</file>

<file path=xl/drawings/drawing1.xml><?xml version="1.0" encoding="utf-8"?>
<xdr:wsDr xmlns:xdr="http://schemas.openxmlformats.org/drawingml/2006/spreadsheetDrawing" xmlns:a="http://schemas.openxmlformats.org/drawingml/2006/main">
  <xdr:twoCellAnchor>
    <xdr:from>
      <xdr:col>1</xdr:col>
      <xdr:colOff>161924</xdr:colOff>
      <xdr:row>18</xdr:row>
      <xdr:rowOff>76200</xdr:rowOff>
    </xdr:from>
    <xdr:to>
      <xdr:col>10</xdr:col>
      <xdr:colOff>9524</xdr:colOff>
      <xdr:row>35</xdr:row>
      <xdr:rowOff>66675</xdr:rowOff>
    </xdr:to>
    <xdr:graphicFrame macro="">
      <xdr:nvGraphicFramePr>
        <xdr:cNvPr id="2" name="Grafiek 1">
          <a:extLst>
            <a:ext uri="{FF2B5EF4-FFF2-40B4-BE49-F238E27FC236}">
              <a16:creationId xmlns:a16="http://schemas.microsoft.com/office/drawing/2014/main" id="{298F8D38-1059-46D7-B041-F55C11D27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571500</xdr:colOff>
      <xdr:row>18</xdr:row>
      <xdr:rowOff>142875</xdr:rowOff>
    </xdr:from>
    <xdr:to>
      <xdr:col>3</xdr:col>
      <xdr:colOff>581025</xdr:colOff>
      <xdr:row>35</xdr:row>
      <xdr:rowOff>38100</xdr:rowOff>
    </xdr:to>
    <xdr:cxnSp macro="">
      <xdr:nvCxnSpPr>
        <xdr:cNvPr id="4" name="Rechte verbindingslijn 3">
          <a:extLst>
            <a:ext uri="{FF2B5EF4-FFF2-40B4-BE49-F238E27FC236}">
              <a16:creationId xmlns:a16="http://schemas.microsoft.com/office/drawing/2014/main" id="{F4F5D075-2C7B-5E63-B4EB-BFDE3525F8AF}"/>
            </a:ext>
          </a:extLst>
        </xdr:cNvPr>
        <xdr:cNvCxnSpPr/>
      </xdr:nvCxnSpPr>
      <xdr:spPr>
        <a:xfrm flipH="1">
          <a:off x="1981200" y="533400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1323975</xdr:colOff>
      <xdr:row>19</xdr:row>
      <xdr:rowOff>0</xdr:rowOff>
    </xdr:from>
    <xdr:to>
      <xdr:col>3</xdr:col>
      <xdr:colOff>1333500</xdr:colOff>
      <xdr:row>35</xdr:row>
      <xdr:rowOff>57150</xdr:rowOff>
    </xdr:to>
    <xdr:cxnSp macro="">
      <xdr:nvCxnSpPr>
        <xdr:cNvPr id="7" name="Rechte verbindingslijn 6">
          <a:extLst>
            <a:ext uri="{FF2B5EF4-FFF2-40B4-BE49-F238E27FC236}">
              <a16:creationId xmlns:a16="http://schemas.microsoft.com/office/drawing/2014/main" id="{8840690D-6853-4ECD-8CC8-1AEC620ED59F}"/>
            </a:ext>
          </a:extLst>
        </xdr:cNvPr>
        <xdr:cNvCxnSpPr/>
      </xdr:nvCxnSpPr>
      <xdr:spPr>
        <a:xfrm flipH="1">
          <a:off x="2733675" y="535305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695325</xdr:colOff>
      <xdr:row>19</xdr:row>
      <xdr:rowOff>152400</xdr:rowOff>
    </xdr:from>
    <xdr:to>
      <xdr:col>6</xdr:col>
      <xdr:colOff>704850</xdr:colOff>
      <xdr:row>36</xdr:row>
      <xdr:rowOff>47625</xdr:rowOff>
    </xdr:to>
    <xdr:cxnSp macro="">
      <xdr:nvCxnSpPr>
        <xdr:cNvPr id="8" name="Rechte verbindingslijn 7">
          <a:extLst>
            <a:ext uri="{FF2B5EF4-FFF2-40B4-BE49-F238E27FC236}">
              <a16:creationId xmlns:a16="http://schemas.microsoft.com/office/drawing/2014/main" id="{440B9369-E784-4CF3-9775-9DBD0B921BAB}"/>
            </a:ext>
          </a:extLst>
        </xdr:cNvPr>
        <xdr:cNvCxnSpPr/>
      </xdr:nvCxnSpPr>
      <xdr:spPr>
        <a:xfrm flipH="1">
          <a:off x="4200525" y="550545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35</xdr:row>
      <xdr:rowOff>38100</xdr:rowOff>
    </xdr:from>
    <xdr:to>
      <xdr:col>3</xdr:col>
      <xdr:colOff>552450</xdr:colOff>
      <xdr:row>37</xdr:row>
      <xdr:rowOff>74250</xdr:rowOff>
    </xdr:to>
    <xdr:sp macro="" textlink="">
      <xdr:nvSpPr>
        <xdr:cNvPr id="9" name="Rechthoek 8">
          <a:extLst>
            <a:ext uri="{FF2B5EF4-FFF2-40B4-BE49-F238E27FC236}">
              <a16:creationId xmlns:a16="http://schemas.microsoft.com/office/drawing/2014/main" id="{25AA2026-93E8-387C-0EA8-CCB88C2FC4B4}"/>
            </a:ext>
          </a:extLst>
        </xdr:cNvPr>
        <xdr:cNvSpPr/>
      </xdr:nvSpPr>
      <xdr:spPr>
        <a:xfrm>
          <a:off x="1276350" y="3600450"/>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3</xdr:col>
      <xdr:colOff>571500</xdr:colOff>
      <xdr:row>35</xdr:row>
      <xdr:rowOff>38100</xdr:rowOff>
    </xdr:from>
    <xdr:to>
      <xdr:col>3</xdr:col>
      <xdr:colOff>1257300</xdr:colOff>
      <xdr:row>37</xdr:row>
      <xdr:rowOff>74250</xdr:rowOff>
    </xdr:to>
    <xdr:sp macro="" textlink="">
      <xdr:nvSpPr>
        <xdr:cNvPr id="10" name="Rechthoek 9">
          <a:extLst>
            <a:ext uri="{FF2B5EF4-FFF2-40B4-BE49-F238E27FC236}">
              <a16:creationId xmlns:a16="http://schemas.microsoft.com/office/drawing/2014/main" id="{BF4E5E8B-5B14-4CB2-9DBF-318CDC2B927C}"/>
            </a:ext>
          </a:extLst>
        </xdr:cNvPr>
        <xdr:cNvSpPr/>
      </xdr:nvSpPr>
      <xdr:spPr>
        <a:xfrm>
          <a:off x="1981200" y="3600450"/>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3</xdr:col>
      <xdr:colOff>1285874</xdr:colOff>
      <xdr:row>35</xdr:row>
      <xdr:rowOff>38100</xdr:rowOff>
    </xdr:from>
    <xdr:to>
      <xdr:col>6</xdr:col>
      <xdr:colOff>676274</xdr:colOff>
      <xdr:row>37</xdr:row>
      <xdr:rowOff>133350</xdr:rowOff>
    </xdr:to>
    <xdr:sp macro="" textlink="">
      <xdr:nvSpPr>
        <xdr:cNvPr id="11" name="Rechthoek 10">
          <a:extLst>
            <a:ext uri="{FF2B5EF4-FFF2-40B4-BE49-F238E27FC236}">
              <a16:creationId xmlns:a16="http://schemas.microsoft.com/office/drawing/2014/main" id="{46C0A39E-7A0C-450C-A46F-1354064346DA}"/>
            </a:ext>
          </a:extLst>
        </xdr:cNvPr>
        <xdr:cNvSpPr/>
      </xdr:nvSpPr>
      <xdr:spPr>
        <a:xfrm>
          <a:off x="2695574" y="7800975"/>
          <a:ext cx="1419225"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6</xdr:col>
      <xdr:colOff>695324</xdr:colOff>
      <xdr:row>35</xdr:row>
      <xdr:rowOff>38100</xdr:rowOff>
    </xdr:from>
    <xdr:to>
      <xdr:col>9</xdr:col>
      <xdr:colOff>1485900</xdr:colOff>
      <xdr:row>37</xdr:row>
      <xdr:rowOff>74250</xdr:rowOff>
    </xdr:to>
    <xdr:sp macro="" textlink="">
      <xdr:nvSpPr>
        <xdr:cNvPr id="12" name="Rechthoek 11">
          <a:extLst>
            <a:ext uri="{FF2B5EF4-FFF2-40B4-BE49-F238E27FC236}">
              <a16:creationId xmlns:a16="http://schemas.microsoft.com/office/drawing/2014/main" id="{69A734A5-0297-47D4-A544-DF797DEE4C5E}"/>
            </a:ext>
          </a:extLst>
        </xdr:cNvPr>
        <xdr:cNvSpPr/>
      </xdr:nvSpPr>
      <xdr:spPr>
        <a:xfrm>
          <a:off x="4133849" y="3600450"/>
          <a:ext cx="2819401"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twoCellAnchor>
    <xdr:from>
      <xdr:col>1</xdr:col>
      <xdr:colOff>161924</xdr:colOff>
      <xdr:row>51</xdr:row>
      <xdr:rowOff>76200</xdr:rowOff>
    </xdr:from>
    <xdr:to>
      <xdr:col>10</xdr:col>
      <xdr:colOff>9524</xdr:colOff>
      <xdr:row>68</xdr:row>
      <xdr:rowOff>66675</xdr:rowOff>
    </xdr:to>
    <xdr:graphicFrame macro="">
      <xdr:nvGraphicFramePr>
        <xdr:cNvPr id="13" name="Grafiek 12">
          <a:extLst>
            <a:ext uri="{FF2B5EF4-FFF2-40B4-BE49-F238E27FC236}">
              <a16:creationId xmlns:a16="http://schemas.microsoft.com/office/drawing/2014/main" id="{3CBB8A5C-9748-40CB-B24B-A7B2068C40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571500</xdr:colOff>
      <xdr:row>51</xdr:row>
      <xdr:rowOff>142875</xdr:rowOff>
    </xdr:from>
    <xdr:to>
      <xdr:col>3</xdr:col>
      <xdr:colOff>581025</xdr:colOff>
      <xdr:row>68</xdr:row>
      <xdr:rowOff>38100</xdr:rowOff>
    </xdr:to>
    <xdr:cxnSp macro="">
      <xdr:nvCxnSpPr>
        <xdr:cNvPr id="14" name="Rechte verbindingslijn 13">
          <a:extLst>
            <a:ext uri="{FF2B5EF4-FFF2-40B4-BE49-F238E27FC236}">
              <a16:creationId xmlns:a16="http://schemas.microsoft.com/office/drawing/2014/main" id="{DED5C6C5-3E4B-4E5C-BA7F-387EA5684F5E}"/>
            </a:ext>
          </a:extLst>
        </xdr:cNvPr>
        <xdr:cNvCxnSpPr/>
      </xdr:nvCxnSpPr>
      <xdr:spPr>
        <a:xfrm flipH="1">
          <a:off x="1981200" y="10887075"/>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1323975</xdr:colOff>
      <xdr:row>52</xdr:row>
      <xdr:rowOff>0</xdr:rowOff>
    </xdr:from>
    <xdr:to>
      <xdr:col>3</xdr:col>
      <xdr:colOff>1333500</xdr:colOff>
      <xdr:row>68</xdr:row>
      <xdr:rowOff>57150</xdr:rowOff>
    </xdr:to>
    <xdr:cxnSp macro="">
      <xdr:nvCxnSpPr>
        <xdr:cNvPr id="15" name="Rechte verbindingslijn 14">
          <a:extLst>
            <a:ext uri="{FF2B5EF4-FFF2-40B4-BE49-F238E27FC236}">
              <a16:creationId xmlns:a16="http://schemas.microsoft.com/office/drawing/2014/main" id="{81ACC07D-B2B4-47B1-9E35-0D46B9342070}"/>
            </a:ext>
          </a:extLst>
        </xdr:cNvPr>
        <xdr:cNvCxnSpPr/>
      </xdr:nvCxnSpPr>
      <xdr:spPr>
        <a:xfrm flipH="1">
          <a:off x="2733675" y="10906125"/>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695325</xdr:colOff>
      <xdr:row>52</xdr:row>
      <xdr:rowOff>152400</xdr:rowOff>
    </xdr:from>
    <xdr:to>
      <xdr:col>6</xdr:col>
      <xdr:colOff>704850</xdr:colOff>
      <xdr:row>69</xdr:row>
      <xdr:rowOff>47625</xdr:rowOff>
    </xdr:to>
    <xdr:cxnSp macro="">
      <xdr:nvCxnSpPr>
        <xdr:cNvPr id="16" name="Rechte verbindingslijn 15">
          <a:extLst>
            <a:ext uri="{FF2B5EF4-FFF2-40B4-BE49-F238E27FC236}">
              <a16:creationId xmlns:a16="http://schemas.microsoft.com/office/drawing/2014/main" id="{3E85D546-3D81-48AA-94FC-9F1CBC441FA7}"/>
            </a:ext>
          </a:extLst>
        </xdr:cNvPr>
        <xdr:cNvCxnSpPr/>
      </xdr:nvCxnSpPr>
      <xdr:spPr>
        <a:xfrm flipH="1">
          <a:off x="4200525" y="11058525"/>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68</xdr:row>
      <xdr:rowOff>38100</xdr:rowOff>
    </xdr:from>
    <xdr:to>
      <xdr:col>3</xdr:col>
      <xdr:colOff>552450</xdr:colOff>
      <xdr:row>70</xdr:row>
      <xdr:rowOff>74250</xdr:rowOff>
    </xdr:to>
    <xdr:sp macro="" textlink="">
      <xdr:nvSpPr>
        <xdr:cNvPr id="17" name="Rechthoek 16">
          <a:extLst>
            <a:ext uri="{FF2B5EF4-FFF2-40B4-BE49-F238E27FC236}">
              <a16:creationId xmlns:a16="http://schemas.microsoft.com/office/drawing/2014/main" id="{7AAD734E-F133-4292-8566-1A55ACC6DF17}"/>
            </a:ext>
          </a:extLst>
        </xdr:cNvPr>
        <xdr:cNvSpPr/>
      </xdr:nvSpPr>
      <xdr:spPr>
        <a:xfrm>
          <a:off x="1276350" y="3600450"/>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3</xdr:col>
      <xdr:colOff>571500</xdr:colOff>
      <xdr:row>68</xdr:row>
      <xdr:rowOff>38100</xdr:rowOff>
    </xdr:from>
    <xdr:to>
      <xdr:col>3</xdr:col>
      <xdr:colOff>1257300</xdr:colOff>
      <xdr:row>70</xdr:row>
      <xdr:rowOff>74250</xdr:rowOff>
    </xdr:to>
    <xdr:sp macro="" textlink="">
      <xdr:nvSpPr>
        <xdr:cNvPr id="18" name="Rechthoek 17">
          <a:extLst>
            <a:ext uri="{FF2B5EF4-FFF2-40B4-BE49-F238E27FC236}">
              <a16:creationId xmlns:a16="http://schemas.microsoft.com/office/drawing/2014/main" id="{F0B101BF-8961-4A06-B59C-9EE73B2F9CE5}"/>
            </a:ext>
          </a:extLst>
        </xdr:cNvPr>
        <xdr:cNvSpPr/>
      </xdr:nvSpPr>
      <xdr:spPr>
        <a:xfrm>
          <a:off x="1981200" y="3600450"/>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3</xdr:col>
      <xdr:colOff>1285874</xdr:colOff>
      <xdr:row>68</xdr:row>
      <xdr:rowOff>38100</xdr:rowOff>
    </xdr:from>
    <xdr:to>
      <xdr:col>6</xdr:col>
      <xdr:colOff>676274</xdr:colOff>
      <xdr:row>70</xdr:row>
      <xdr:rowOff>152400</xdr:rowOff>
    </xdr:to>
    <xdr:sp macro="" textlink="">
      <xdr:nvSpPr>
        <xdr:cNvPr id="19" name="Rechthoek 18">
          <a:extLst>
            <a:ext uri="{FF2B5EF4-FFF2-40B4-BE49-F238E27FC236}">
              <a16:creationId xmlns:a16="http://schemas.microsoft.com/office/drawing/2014/main" id="{21A95DE5-5B19-4043-8A99-B7356E45BA10}"/>
            </a:ext>
          </a:extLst>
        </xdr:cNvPr>
        <xdr:cNvSpPr/>
      </xdr:nvSpPr>
      <xdr:spPr>
        <a:xfrm>
          <a:off x="2695574" y="13173075"/>
          <a:ext cx="1419225" cy="438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6</xdr:col>
      <xdr:colOff>695324</xdr:colOff>
      <xdr:row>68</xdr:row>
      <xdr:rowOff>38100</xdr:rowOff>
    </xdr:from>
    <xdr:to>
      <xdr:col>9</xdr:col>
      <xdr:colOff>1485900</xdr:colOff>
      <xdr:row>70</xdr:row>
      <xdr:rowOff>74250</xdr:rowOff>
    </xdr:to>
    <xdr:sp macro="" textlink="">
      <xdr:nvSpPr>
        <xdr:cNvPr id="20" name="Rechthoek 19">
          <a:extLst>
            <a:ext uri="{FF2B5EF4-FFF2-40B4-BE49-F238E27FC236}">
              <a16:creationId xmlns:a16="http://schemas.microsoft.com/office/drawing/2014/main" id="{66E72600-6683-421E-9FBA-B1F4BEC137FE}"/>
            </a:ext>
          </a:extLst>
        </xdr:cNvPr>
        <xdr:cNvSpPr/>
      </xdr:nvSpPr>
      <xdr:spPr>
        <a:xfrm>
          <a:off x="4133849" y="3600450"/>
          <a:ext cx="2819401"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twoCellAnchor>
    <xdr:from>
      <xdr:col>0</xdr:col>
      <xdr:colOff>114301</xdr:colOff>
      <xdr:row>0</xdr:row>
      <xdr:rowOff>876299</xdr:rowOff>
    </xdr:from>
    <xdr:to>
      <xdr:col>10</xdr:col>
      <xdr:colOff>552451</xdr:colOff>
      <xdr:row>2</xdr:row>
      <xdr:rowOff>19049</xdr:rowOff>
    </xdr:to>
    <xdr:sp macro="" textlink="">
      <xdr:nvSpPr>
        <xdr:cNvPr id="26" name="Rechthoek: afgeronde hoeken 25">
          <a:extLst>
            <a:ext uri="{FF2B5EF4-FFF2-40B4-BE49-F238E27FC236}">
              <a16:creationId xmlns:a16="http://schemas.microsoft.com/office/drawing/2014/main" id="{1F7189E2-0FC6-96CB-8605-6AB11D0C7719}"/>
            </a:ext>
          </a:extLst>
        </xdr:cNvPr>
        <xdr:cNvSpPr/>
      </xdr:nvSpPr>
      <xdr:spPr>
        <a:xfrm>
          <a:off x="114301" y="876299"/>
          <a:ext cx="7753350" cy="200025"/>
        </a:xfrm>
        <a:prstGeom prst="roundRect">
          <a:avLst/>
        </a:prstGeom>
        <a:gradFill flip="none" rotWithShape="1">
          <a:gsLst>
            <a:gs pos="67000">
              <a:srgbClr val="B75F1B"/>
            </a:gs>
            <a:gs pos="81000">
              <a:srgbClr val="008295"/>
            </a:gs>
            <a:gs pos="50000">
              <a:srgbClr val="B75F1B"/>
            </a:gs>
            <a:gs pos="40000">
              <a:srgbClr val="944456"/>
            </a:gs>
            <a:gs pos="13000">
              <a:srgbClr val="B75F1B"/>
            </a:gs>
            <a:gs pos="15000">
              <a:srgbClr val="944456"/>
            </a:gs>
            <a:gs pos="100000">
              <a:srgbClr val="008295"/>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685800</xdr:colOff>
      <xdr:row>0</xdr:row>
      <xdr:rowOff>561975</xdr:rowOff>
    </xdr:from>
    <xdr:to>
      <xdr:col>8</xdr:col>
      <xdr:colOff>9525</xdr:colOff>
      <xdr:row>3</xdr:row>
      <xdr:rowOff>85725</xdr:rowOff>
    </xdr:to>
    <xdr:sp macro="" textlink="">
      <xdr:nvSpPr>
        <xdr:cNvPr id="32" name="Rechthoek: afgeronde hoeken 31">
          <a:extLst>
            <a:ext uri="{FF2B5EF4-FFF2-40B4-BE49-F238E27FC236}">
              <a16:creationId xmlns:a16="http://schemas.microsoft.com/office/drawing/2014/main" id="{94B84B67-1C1B-E9A6-0A50-BAA429CD9484}"/>
            </a:ext>
          </a:extLst>
        </xdr:cNvPr>
        <xdr:cNvSpPr/>
      </xdr:nvSpPr>
      <xdr:spPr>
        <a:xfrm>
          <a:off x="2095500" y="561975"/>
          <a:ext cx="3190875" cy="742950"/>
        </a:xfrm>
        <a:prstGeom prst="roundRect">
          <a:avLst>
            <a:gd name="adj" fmla="val 26667"/>
          </a:avLst>
        </a:prstGeom>
        <a:solidFill>
          <a:srgbClr val="FFFFFF">
            <a:alpha val="85098"/>
          </a:srgbClr>
        </a:solidFill>
        <a:ln>
          <a:solidFill>
            <a:srgbClr val="21415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b="1"/>
        </a:p>
      </xdr:txBody>
    </xdr:sp>
    <xdr:clientData/>
  </xdr:twoCellAnchor>
  <xdr:twoCellAnchor>
    <xdr:from>
      <xdr:col>3</xdr:col>
      <xdr:colOff>714375</xdr:colOff>
      <xdr:row>0</xdr:row>
      <xdr:rowOff>657225</xdr:rowOff>
    </xdr:from>
    <xdr:to>
      <xdr:col>8</xdr:col>
      <xdr:colOff>66675</xdr:colOff>
      <xdr:row>3</xdr:row>
      <xdr:rowOff>209550</xdr:rowOff>
    </xdr:to>
    <xdr:sp macro="" textlink="">
      <xdr:nvSpPr>
        <xdr:cNvPr id="33" name="Rechthoek 32">
          <a:extLst>
            <a:ext uri="{FF2B5EF4-FFF2-40B4-BE49-F238E27FC236}">
              <a16:creationId xmlns:a16="http://schemas.microsoft.com/office/drawing/2014/main" id="{5A7E7FBF-F46A-7931-8589-621757D0D069}"/>
            </a:ext>
          </a:extLst>
        </xdr:cNvPr>
        <xdr:cNvSpPr/>
      </xdr:nvSpPr>
      <xdr:spPr>
        <a:xfrm>
          <a:off x="2124075" y="657225"/>
          <a:ext cx="32194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lang="nl-NL" sz="1100" b="1">
              <a:solidFill>
                <a:srgbClr val="214159"/>
              </a:solidFill>
              <a:latin typeface="Segoe UI" panose="020B0502040204020203" pitchFamily="34" charset="0"/>
              <a:ea typeface="Open Sans" panose="020B0606030504020204" pitchFamily="34" charset="0"/>
              <a:cs typeface="Segoe UI" panose="020B0502040204020203" pitchFamily="34" charset="0"/>
            </a:rPr>
            <a:t>Extra zekerheid met onze verzekering</a:t>
          </a:r>
        </a:p>
        <a:p>
          <a:pPr algn="l"/>
          <a:r>
            <a:rPr lang="nl-NL" sz="900" b="0">
              <a:solidFill>
                <a:srgbClr val="214159"/>
              </a:solidFill>
              <a:latin typeface="Segoe UI" panose="020B0502040204020203" pitchFamily="34" charset="0"/>
              <a:ea typeface="Open Sans" panose="020B0606030504020204" pitchFamily="34" charset="0"/>
              <a:cs typeface="Segoe UI" panose="020B0502040204020203" pitchFamily="34" charset="0"/>
            </a:rPr>
            <a:t>Vul je loon hieronder in en krijg een indicatie van je inkomen tijdens ziekte.</a:t>
          </a:r>
        </a:p>
      </xdr:txBody>
    </xdr:sp>
    <xdr:clientData/>
  </xdr:twoCellAnchor>
  <xdr:twoCellAnchor>
    <xdr:from>
      <xdr:col>0</xdr:col>
      <xdr:colOff>441822</xdr:colOff>
      <xdr:row>4</xdr:row>
      <xdr:rowOff>53403</xdr:rowOff>
    </xdr:from>
    <xdr:to>
      <xdr:col>0</xdr:col>
      <xdr:colOff>520202</xdr:colOff>
      <xdr:row>4</xdr:row>
      <xdr:rowOff>137097</xdr:rowOff>
    </xdr:to>
    <xdr:sp macro="" textlink="">
      <xdr:nvSpPr>
        <xdr:cNvPr id="36" name="Ovaal 35">
          <a:extLst>
            <a:ext uri="{FF2B5EF4-FFF2-40B4-BE49-F238E27FC236}">
              <a16:creationId xmlns:a16="http://schemas.microsoft.com/office/drawing/2014/main" id="{84E079D3-0E62-8BEF-2833-5142577678C2}"/>
            </a:ext>
          </a:extLst>
        </xdr:cNvPr>
        <xdr:cNvSpPr/>
      </xdr:nvSpPr>
      <xdr:spPr>
        <a:xfrm>
          <a:off x="441822" y="1844103"/>
          <a:ext cx="78380" cy="83694"/>
        </a:xfrm>
        <a:prstGeom prst="ellipse">
          <a:avLst/>
        </a:prstGeom>
        <a:solidFill>
          <a:srgbClr val="B75F1B"/>
        </a:solidFill>
        <a:ln>
          <a:solidFill>
            <a:srgbClr val="B75F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0</xdr:col>
      <xdr:colOff>496810</xdr:colOff>
      <xdr:row>11</xdr:row>
      <xdr:rowOff>47625</xdr:rowOff>
    </xdr:from>
    <xdr:to>
      <xdr:col>1</xdr:col>
      <xdr:colOff>563485</xdr:colOff>
      <xdr:row>15</xdr:row>
      <xdr:rowOff>76200</xdr:rowOff>
    </xdr:to>
    <xdr:pic>
      <xdr:nvPicPr>
        <xdr:cNvPr id="37" name="Afbeelding 36" descr="Badge: 1 silhouet">
          <a:extLst>
            <a:ext uri="{FF2B5EF4-FFF2-40B4-BE49-F238E27FC236}">
              <a16:creationId xmlns:a16="http://schemas.microsoft.com/office/drawing/2014/main" id="{E6DA824E-47F6-8B6A-3F8E-DE3374CFAD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bwMode="auto">
        <a:xfrm>
          <a:off x="496810" y="406717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496810</xdr:colOff>
      <xdr:row>44</xdr:row>
      <xdr:rowOff>38100</xdr:rowOff>
    </xdr:from>
    <xdr:ext cx="676275" cy="676275"/>
    <xdr:pic>
      <xdr:nvPicPr>
        <xdr:cNvPr id="38" name="Afbeelding 37" descr="Badge silhouet">
          <a:extLst>
            <a:ext uri="{FF2B5EF4-FFF2-40B4-BE49-F238E27FC236}">
              <a16:creationId xmlns:a16="http://schemas.microsoft.com/office/drawing/2014/main" id="{A77A4D3E-DC70-48FD-92B1-A58AC3DD2C6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bwMode="auto">
        <a:xfrm>
          <a:off x="496810" y="949642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161924</xdr:colOff>
      <xdr:row>84</xdr:row>
      <xdr:rowOff>76200</xdr:rowOff>
    </xdr:from>
    <xdr:to>
      <xdr:col>10</xdr:col>
      <xdr:colOff>9524</xdr:colOff>
      <xdr:row>101</xdr:row>
      <xdr:rowOff>66675</xdr:rowOff>
    </xdr:to>
    <xdr:graphicFrame macro="">
      <xdr:nvGraphicFramePr>
        <xdr:cNvPr id="39" name="Grafiek 38">
          <a:extLst>
            <a:ext uri="{FF2B5EF4-FFF2-40B4-BE49-F238E27FC236}">
              <a16:creationId xmlns:a16="http://schemas.microsoft.com/office/drawing/2014/main" id="{C5FECA31-EEE8-4D32-9289-AB240F0E0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571500</xdr:colOff>
      <xdr:row>84</xdr:row>
      <xdr:rowOff>142875</xdr:rowOff>
    </xdr:from>
    <xdr:to>
      <xdr:col>3</xdr:col>
      <xdr:colOff>581025</xdr:colOff>
      <xdr:row>101</xdr:row>
      <xdr:rowOff>38100</xdr:rowOff>
    </xdr:to>
    <xdr:cxnSp macro="">
      <xdr:nvCxnSpPr>
        <xdr:cNvPr id="40" name="Rechte verbindingslijn 39">
          <a:extLst>
            <a:ext uri="{FF2B5EF4-FFF2-40B4-BE49-F238E27FC236}">
              <a16:creationId xmlns:a16="http://schemas.microsoft.com/office/drawing/2014/main" id="{C2A7DA44-30D5-44A6-93F3-B44E3B2F4D1F}"/>
            </a:ext>
          </a:extLst>
        </xdr:cNvPr>
        <xdr:cNvCxnSpPr/>
      </xdr:nvCxnSpPr>
      <xdr:spPr>
        <a:xfrm flipH="1">
          <a:off x="1981200" y="1642110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1314450</xdr:colOff>
      <xdr:row>85</xdr:row>
      <xdr:rowOff>0</xdr:rowOff>
    </xdr:from>
    <xdr:to>
      <xdr:col>3</xdr:col>
      <xdr:colOff>1323975</xdr:colOff>
      <xdr:row>101</xdr:row>
      <xdr:rowOff>57150</xdr:rowOff>
    </xdr:to>
    <xdr:cxnSp macro="">
      <xdr:nvCxnSpPr>
        <xdr:cNvPr id="41" name="Rechte verbindingslijn 40">
          <a:extLst>
            <a:ext uri="{FF2B5EF4-FFF2-40B4-BE49-F238E27FC236}">
              <a16:creationId xmlns:a16="http://schemas.microsoft.com/office/drawing/2014/main" id="{3FF8150C-163B-4458-AE19-14B2B6CD1109}"/>
            </a:ext>
          </a:extLst>
        </xdr:cNvPr>
        <xdr:cNvCxnSpPr/>
      </xdr:nvCxnSpPr>
      <xdr:spPr>
        <a:xfrm flipH="1">
          <a:off x="2724150" y="1644015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695325</xdr:colOff>
      <xdr:row>85</xdr:row>
      <xdr:rowOff>152400</xdr:rowOff>
    </xdr:from>
    <xdr:to>
      <xdr:col>6</xdr:col>
      <xdr:colOff>704850</xdr:colOff>
      <xdr:row>102</xdr:row>
      <xdr:rowOff>47625</xdr:rowOff>
    </xdr:to>
    <xdr:cxnSp macro="">
      <xdr:nvCxnSpPr>
        <xdr:cNvPr id="42" name="Rechte verbindingslijn 41">
          <a:extLst>
            <a:ext uri="{FF2B5EF4-FFF2-40B4-BE49-F238E27FC236}">
              <a16:creationId xmlns:a16="http://schemas.microsoft.com/office/drawing/2014/main" id="{16E3FE71-F62F-49D7-A5D5-82B17467B6EB}"/>
            </a:ext>
          </a:extLst>
        </xdr:cNvPr>
        <xdr:cNvCxnSpPr/>
      </xdr:nvCxnSpPr>
      <xdr:spPr>
        <a:xfrm flipH="1">
          <a:off x="4200525" y="16592550"/>
          <a:ext cx="9525" cy="26479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57150</xdr:colOff>
      <xdr:row>101</xdr:row>
      <xdr:rowOff>38100</xdr:rowOff>
    </xdr:from>
    <xdr:to>
      <xdr:col>3</xdr:col>
      <xdr:colOff>552450</xdr:colOff>
      <xdr:row>103</xdr:row>
      <xdr:rowOff>74250</xdr:rowOff>
    </xdr:to>
    <xdr:sp macro="" textlink="">
      <xdr:nvSpPr>
        <xdr:cNvPr id="43" name="Rechthoek 42">
          <a:extLst>
            <a:ext uri="{FF2B5EF4-FFF2-40B4-BE49-F238E27FC236}">
              <a16:creationId xmlns:a16="http://schemas.microsoft.com/office/drawing/2014/main" id="{689820A8-C064-40C9-92D3-FECAD53DBB62}"/>
            </a:ext>
          </a:extLst>
        </xdr:cNvPr>
        <xdr:cNvSpPr/>
      </xdr:nvSpPr>
      <xdr:spPr>
        <a:xfrm>
          <a:off x="1276350" y="13096875"/>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3</xdr:col>
      <xdr:colOff>571500</xdr:colOff>
      <xdr:row>101</xdr:row>
      <xdr:rowOff>38100</xdr:rowOff>
    </xdr:from>
    <xdr:to>
      <xdr:col>3</xdr:col>
      <xdr:colOff>1257300</xdr:colOff>
      <xdr:row>103</xdr:row>
      <xdr:rowOff>74250</xdr:rowOff>
    </xdr:to>
    <xdr:sp macro="" textlink="">
      <xdr:nvSpPr>
        <xdr:cNvPr id="44" name="Rechthoek 43">
          <a:extLst>
            <a:ext uri="{FF2B5EF4-FFF2-40B4-BE49-F238E27FC236}">
              <a16:creationId xmlns:a16="http://schemas.microsoft.com/office/drawing/2014/main" id="{B920FF6A-7D8C-4AAB-B538-34B3EBDF8720}"/>
            </a:ext>
          </a:extLst>
        </xdr:cNvPr>
        <xdr:cNvSpPr/>
      </xdr:nvSpPr>
      <xdr:spPr>
        <a:xfrm>
          <a:off x="1981200" y="13096875"/>
          <a:ext cx="685800"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3</xdr:col>
      <xdr:colOff>1285874</xdr:colOff>
      <xdr:row>101</xdr:row>
      <xdr:rowOff>38100</xdr:rowOff>
    </xdr:from>
    <xdr:to>
      <xdr:col>6</xdr:col>
      <xdr:colOff>676274</xdr:colOff>
      <xdr:row>104</xdr:row>
      <xdr:rowOff>9525</xdr:rowOff>
    </xdr:to>
    <xdr:sp macro="" textlink="">
      <xdr:nvSpPr>
        <xdr:cNvPr id="45" name="Rechthoek 44">
          <a:extLst>
            <a:ext uri="{FF2B5EF4-FFF2-40B4-BE49-F238E27FC236}">
              <a16:creationId xmlns:a16="http://schemas.microsoft.com/office/drawing/2014/main" id="{F7A9EAE5-803B-42A6-9EFA-1CBFE47A6A3E}"/>
            </a:ext>
          </a:extLst>
        </xdr:cNvPr>
        <xdr:cNvSpPr/>
      </xdr:nvSpPr>
      <xdr:spPr>
        <a:xfrm>
          <a:off x="2695574" y="18526125"/>
          <a:ext cx="1419225" cy="457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6</xdr:col>
      <xdr:colOff>695324</xdr:colOff>
      <xdr:row>101</xdr:row>
      <xdr:rowOff>38100</xdr:rowOff>
    </xdr:from>
    <xdr:to>
      <xdr:col>9</xdr:col>
      <xdr:colOff>1485900</xdr:colOff>
      <xdr:row>103</xdr:row>
      <xdr:rowOff>74250</xdr:rowOff>
    </xdr:to>
    <xdr:sp macro="" textlink="">
      <xdr:nvSpPr>
        <xdr:cNvPr id="46" name="Rechthoek 45">
          <a:extLst>
            <a:ext uri="{FF2B5EF4-FFF2-40B4-BE49-F238E27FC236}">
              <a16:creationId xmlns:a16="http://schemas.microsoft.com/office/drawing/2014/main" id="{A06C3B52-AD7F-45FB-9207-B75F72901C82}"/>
            </a:ext>
          </a:extLst>
        </xdr:cNvPr>
        <xdr:cNvSpPr/>
      </xdr:nvSpPr>
      <xdr:spPr>
        <a:xfrm>
          <a:off x="4133849" y="13096875"/>
          <a:ext cx="2819401" cy="36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oneCellAnchor>
    <xdr:from>
      <xdr:col>0</xdr:col>
      <xdr:colOff>496810</xdr:colOff>
      <xdr:row>77</xdr:row>
      <xdr:rowOff>142875</xdr:rowOff>
    </xdr:from>
    <xdr:ext cx="676275" cy="676275"/>
    <xdr:pic>
      <xdr:nvPicPr>
        <xdr:cNvPr id="47" name="Afbeelding 46" descr="Badge 3 silhouet">
          <a:extLst>
            <a:ext uri="{FF2B5EF4-FFF2-40B4-BE49-F238E27FC236}">
              <a16:creationId xmlns:a16="http://schemas.microsoft.com/office/drawing/2014/main" id="{B1C1D4C6-2B77-4572-A248-CFE629CA486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rcRect/>
        <a:stretch/>
      </xdr:blipFill>
      <xdr:spPr bwMode="auto">
        <a:xfrm>
          <a:off x="496810" y="1515427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161924</xdr:colOff>
      <xdr:row>18</xdr:row>
      <xdr:rowOff>76200</xdr:rowOff>
    </xdr:from>
    <xdr:to>
      <xdr:col>22</xdr:col>
      <xdr:colOff>9524</xdr:colOff>
      <xdr:row>35</xdr:row>
      <xdr:rowOff>66675</xdr:rowOff>
    </xdr:to>
    <xdr:graphicFrame macro="">
      <xdr:nvGraphicFramePr>
        <xdr:cNvPr id="3" name="Grafiek 2">
          <a:extLst>
            <a:ext uri="{FF2B5EF4-FFF2-40B4-BE49-F238E27FC236}">
              <a16:creationId xmlns:a16="http://schemas.microsoft.com/office/drawing/2014/main" id="{797CEFE1-2D41-4706-A959-17708CB44A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571500</xdr:colOff>
      <xdr:row>18</xdr:row>
      <xdr:rowOff>142875</xdr:rowOff>
    </xdr:from>
    <xdr:to>
      <xdr:col>15</xdr:col>
      <xdr:colOff>581025</xdr:colOff>
      <xdr:row>35</xdr:row>
      <xdr:rowOff>38100</xdr:rowOff>
    </xdr:to>
    <xdr:cxnSp macro="">
      <xdr:nvCxnSpPr>
        <xdr:cNvPr id="5" name="Rechte verbindingslijn 4">
          <a:extLst>
            <a:ext uri="{FF2B5EF4-FFF2-40B4-BE49-F238E27FC236}">
              <a16:creationId xmlns:a16="http://schemas.microsoft.com/office/drawing/2014/main" id="{C31B021C-6DA8-4AD9-B39F-4AC2F5092316}"/>
            </a:ext>
          </a:extLst>
        </xdr:cNvPr>
        <xdr:cNvCxnSpPr/>
      </xdr:nvCxnSpPr>
      <xdr:spPr>
        <a:xfrm flipH="1">
          <a:off x="1981200" y="5724525"/>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1323975</xdr:colOff>
      <xdr:row>19</xdr:row>
      <xdr:rowOff>0</xdr:rowOff>
    </xdr:from>
    <xdr:to>
      <xdr:col>15</xdr:col>
      <xdr:colOff>1333500</xdr:colOff>
      <xdr:row>35</xdr:row>
      <xdr:rowOff>57150</xdr:rowOff>
    </xdr:to>
    <xdr:cxnSp macro="">
      <xdr:nvCxnSpPr>
        <xdr:cNvPr id="6" name="Rechte verbindingslijn 5">
          <a:extLst>
            <a:ext uri="{FF2B5EF4-FFF2-40B4-BE49-F238E27FC236}">
              <a16:creationId xmlns:a16="http://schemas.microsoft.com/office/drawing/2014/main" id="{9B54114E-9FD3-45BA-8738-10EE203E8F0A}"/>
            </a:ext>
          </a:extLst>
        </xdr:cNvPr>
        <xdr:cNvCxnSpPr/>
      </xdr:nvCxnSpPr>
      <xdr:spPr>
        <a:xfrm flipH="1">
          <a:off x="2733675" y="5772150"/>
          <a:ext cx="9525" cy="31051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695325</xdr:colOff>
      <xdr:row>19</xdr:row>
      <xdr:rowOff>152400</xdr:rowOff>
    </xdr:from>
    <xdr:to>
      <xdr:col>18</xdr:col>
      <xdr:colOff>704850</xdr:colOff>
      <xdr:row>36</xdr:row>
      <xdr:rowOff>47625</xdr:rowOff>
    </xdr:to>
    <xdr:cxnSp macro="">
      <xdr:nvCxnSpPr>
        <xdr:cNvPr id="21" name="Rechte verbindingslijn 20">
          <a:extLst>
            <a:ext uri="{FF2B5EF4-FFF2-40B4-BE49-F238E27FC236}">
              <a16:creationId xmlns:a16="http://schemas.microsoft.com/office/drawing/2014/main" id="{5DB30958-8A8B-4F1E-A387-7E0D0B030975}"/>
            </a:ext>
          </a:extLst>
        </xdr:cNvPr>
        <xdr:cNvCxnSpPr/>
      </xdr:nvCxnSpPr>
      <xdr:spPr>
        <a:xfrm flipH="1">
          <a:off x="4200525" y="5924550"/>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xdr:colOff>
      <xdr:row>35</xdr:row>
      <xdr:rowOff>38100</xdr:rowOff>
    </xdr:from>
    <xdr:to>
      <xdr:col>15</xdr:col>
      <xdr:colOff>552450</xdr:colOff>
      <xdr:row>37</xdr:row>
      <xdr:rowOff>74250</xdr:rowOff>
    </xdr:to>
    <xdr:sp macro="" textlink="">
      <xdr:nvSpPr>
        <xdr:cNvPr id="22" name="Rechthoek 21">
          <a:extLst>
            <a:ext uri="{FF2B5EF4-FFF2-40B4-BE49-F238E27FC236}">
              <a16:creationId xmlns:a16="http://schemas.microsoft.com/office/drawing/2014/main" id="{95ECC694-AD44-4F62-A7CE-E85C558C8152}"/>
            </a:ext>
          </a:extLst>
        </xdr:cNvPr>
        <xdr:cNvSpPr/>
      </xdr:nvSpPr>
      <xdr:spPr>
        <a:xfrm>
          <a:off x="1276350" y="8858250"/>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15</xdr:col>
      <xdr:colOff>571500</xdr:colOff>
      <xdr:row>35</xdr:row>
      <xdr:rowOff>38100</xdr:rowOff>
    </xdr:from>
    <xdr:to>
      <xdr:col>15</xdr:col>
      <xdr:colOff>1257300</xdr:colOff>
      <xdr:row>37</xdr:row>
      <xdr:rowOff>74250</xdr:rowOff>
    </xdr:to>
    <xdr:sp macro="" textlink="">
      <xdr:nvSpPr>
        <xdr:cNvPr id="23" name="Rechthoek 22">
          <a:extLst>
            <a:ext uri="{FF2B5EF4-FFF2-40B4-BE49-F238E27FC236}">
              <a16:creationId xmlns:a16="http://schemas.microsoft.com/office/drawing/2014/main" id="{24A6041D-0DD2-4D33-886F-FE064BF74EA0}"/>
            </a:ext>
          </a:extLst>
        </xdr:cNvPr>
        <xdr:cNvSpPr/>
      </xdr:nvSpPr>
      <xdr:spPr>
        <a:xfrm>
          <a:off x="1981200" y="8858250"/>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15</xdr:col>
      <xdr:colOff>1285874</xdr:colOff>
      <xdr:row>35</xdr:row>
      <xdr:rowOff>38100</xdr:rowOff>
    </xdr:from>
    <xdr:to>
      <xdr:col>18</xdr:col>
      <xdr:colOff>676274</xdr:colOff>
      <xdr:row>37</xdr:row>
      <xdr:rowOff>133350</xdr:rowOff>
    </xdr:to>
    <xdr:sp macro="" textlink="">
      <xdr:nvSpPr>
        <xdr:cNvPr id="24" name="Rechthoek 23">
          <a:extLst>
            <a:ext uri="{FF2B5EF4-FFF2-40B4-BE49-F238E27FC236}">
              <a16:creationId xmlns:a16="http://schemas.microsoft.com/office/drawing/2014/main" id="{1382B4B5-1500-4B5F-B08D-DC6FE77B745B}"/>
            </a:ext>
          </a:extLst>
        </xdr:cNvPr>
        <xdr:cNvSpPr/>
      </xdr:nvSpPr>
      <xdr:spPr>
        <a:xfrm>
          <a:off x="2695574" y="8858250"/>
          <a:ext cx="1485900"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18</xdr:col>
      <xdr:colOff>695324</xdr:colOff>
      <xdr:row>35</xdr:row>
      <xdr:rowOff>38100</xdr:rowOff>
    </xdr:from>
    <xdr:to>
      <xdr:col>21</xdr:col>
      <xdr:colOff>1485900</xdr:colOff>
      <xdr:row>37</xdr:row>
      <xdr:rowOff>74250</xdr:rowOff>
    </xdr:to>
    <xdr:sp macro="" textlink="">
      <xdr:nvSpPr>
        <xdr:cNvPr id="25" name="Rechthoek 24">
          <a:extLst>
            <a:ext uri="{FF2B5EF4-FFF2-40B4-BE49-F238E27FC236}">
              <a16:creationId xmlns:a16="http://schemas.microsoft.com/office/drawing/2014/main" id="{7871ADA3-6ABF-430F-8B0A-02EA15B48433}"/>
            </a:ext>
          </a:extLst>
        </xdr:cNvPr>
        <xdr:cNvSpPr/>
      </xdr:nvSpPr>
      <xdr:spPr>
        <a:xfrm>
          <a:off x="4200524" y="8858250"/>
          <a:ext cx="2886076"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twoCellAnchor>
    <xdr:from>
      <xdr:col>13</xdr:col>
      <xdr:colOff>161924</xdr:colOff>
      <xdr:row>51</xdr:row>
      <xdr:rowOff>76200</xdr:rowOff>
    </xdr:from>
    <xdr:to>
      <xdr:col>22</xdr:col>
      <xdr:colOff>9524</xdr:colOff>
      <xdr:row>68</xdr:row>
      <xdr:rowOff>66675</xdr:rowOff>
    </xdr:to>
    <xdr:graphicFrame macro="">
      <xdr:nvGraphicFramePr>
        <xdr:cNvPr id="27" name="Grafiek 26">
          <a:extLst>
            <a:ext uri="{FF2B5EF4-FFF2-40B4-BE49-F238E27FC236}">
              <a16:creationId xmlns:a16="http://schemas.microsoft.com/office/drawing/2014/main" id="{09A279D9-0719-40AF-BE34-152781311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15</xdr:col>
      <xdr:colOff>571500</xdr:colOff>
      <xdr:row>51</xdr:row>
      <xdr:rowOff>142875</xdr:rowOff>
    </xdr:from>
    <xdr:to>
      <xdr:col>15</xdr:col>
      <xdr:colOff>581025</xdr:colOff>
      <xdr:row>68</xdr:row>
      <xdr:rowOff>38100</xdr:rowOff>
    </xdr:to>
    <xdr:cxnSp macro="">
      <xdr:nvCxnSpPr>
        <xdr:cNvPr id="28" name="Rechte verbindingslijn 27">
          <a:extLst>
            <a:ext uri="{FF2B5EF4-FFF2-40B4-BE49-F238E27FC236}">
              <a16:creationId xmlns:a16="http://schemas.microsoft.com/office/drawing/2014/main" id="{A3C65878-EE39-43EF-BD4D-BD6626A8936A}"/>
            </a:ext>
          </a:extLst>
        </xdr:cNvPr>
        <xdr:cNvCxnSpPr/>
      </xdr:nvCxnSpPr>
      <xdr:spPr>
        <a:xfrm flipH="1">
          <a:off x="1981200" y="11991975"/>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1323975</xdr:colOff>
      <xdr:row>52</xdr:row>
      <xdr:rowOff>0</xdr:rowOff>
    </xdr:from>
    <xdr:to>
      <xdr:col>15</xdr:col>
      <xdr:colOff>1333500</xdr:colOff>
      <xdr:row>68</xdr:row>
      <xdr:rowOff>57150</xdr:rowOff>
    </xdr:to>
    <xdr:cxnSp macro="">
      <xdr:nvCxnSpPr>
        <xdr:cNvPr id="29" name="Rechte verbindingslijn 28">
          <a:extLst>
            <a:ext uri="{FF2B5EF4-FFF2-40B4-BE49-F238E27FC236}">
              <a16:creationId xmlns:a16="http://schemas.microsoft.com/office/drawing/2014/main" id="{C65EA1FD-64E4-4A19-B321-CDFC74F3AC0C}"/>
            </a:ext>
          </a:extLst>
        </xdr:cNvPr>
        <xdr:cNvCxnSpPr/>
      </xdr:nvCxnSpPr>
      <xdr:spPr>
        <a:xfrm flipH="1">
          <a:off x="2733675" y="12039600"/>
          <a:ext cx="9525" cy="31051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695325</xdr:colOff>
      <xdr:row>52</xdr:row>
      <xdr:rowOff>152400</xdr:rowOff>
    </xdr:from>
    <xdr:to>
      <xdr:col>18</xdr:col>
      <xdr:colOff>704850</xdr:colOff>
      <xdr:row>69</xdr:row>
      <xdr:rowOff>47625</xdr:rowOff>
    </xdr:to>
    <xdr:cxnSp macro="">
      <xdr:nvCxnSpPr>
        <xdr:cNvPr id="30" name="Rechte verbindingslijn 29">
          <a:extLst>
            <a:ext uri="{FF2B5EF4-FFF2-40B4-BE49-F238E27FC236}">
              <a16:creationId xmlns:a16="http://schemas.microsoft.com/office/drawing/2014/main" id="{0507C6B6-3016-4D22-8381-1F659C08DFBC}"/>
            </a:ext>
          </a:extLst>
        </xdr:cNvPr>
        <xdr:cNvCxnSpPr/>
      </xdr:nvCxnSpPr>
      <xdr:spPr>
        <a:xfrm flipH="1">
          <a:off x="4200525" y="12192000"/>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xdr:colOff>
      <xdr:row>68</xdr:row>
      <xdr:rowOff>38100</xdr:rowOff>
    </xdr:from>
    <xdr:to>
      <xdr:col>15</xdr:col>
      <xdr:colOff>552450</xdr:colOff>
      <xdr:row>70</xdr:row>
      <xdr:rowOff>74250</xdr:rowOff>
    </xdr:to>
    <xdr:sp macro="" textlink="">
      <xdr:nvSpPr>
        <xdr:cNvPr id="31" name="Rechthoek 30">
          <a:extLst>
            <a:ext uri="{FF2B5EF4-FFF2-40B4-BE49-F238E27FC236}">
              <a16:creationId xmlns:a16="http://schemas.microsoft.com/office/drawing/2014/main" id="{46493509-3116-45ED-A2A0-9273118DD5FA}"/>
            </a:ext>
          </a:extLst>
        </xdr:cNvPr>
        <xdr:cNvSpPr/>
      </xdr:nvSpPr>
      <xdr:spPr>
        <a:xfrm>
          <a:off x="1276350" y="15125700"/>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15</xdr:col>
      <xdr:colOff>571500</xdr:colOff>
      <xdr:row>68</xdr:row>
      <xdr:rowOff>38100</xdr:rowOff>
    </xdr:from>
    <xdr:to>
      <xdr:col>15</xdr:col>
      <xdr:colOff>1257300</xdr:colOff>
      <xdr:row>70</xdr:row>
      <xdr:rowOff>74250</xdr:rowOff>
    </xdr:to>
    <xdr:sp macro="" textlink="">
      <xdr:nvSpPr>
        <xdr:cNvPr id="34" name="Rechthoek 33">
          <a:extLst>
            <a:ext uri="{FF2B5EF4-FFF2-40B4-BE49-F238E27FC236}">
              <a16:creationId xmlns:a16="http://schemas.microsoft.com/office/drawing/2014/main" id="{0BCF307D-F98E-488C-83C1-4C931A18C2DF}"/>
            </a:ext>
          </a:extLst>
        </xdr:cNvPr>
        <xdr:cNvSpPr/>
      </xdr:nvSpPr>
      <xdr:spPr>
        <a:xfrm>
          <a:off x="1981200" y="15125700"/>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15</xdr:col>
      <xdr:colOff>1285874</xdr:colOff>
      <xdr:row>68</xdr:row>
      <xdr:rowOff>38100</xdr:rowOff>
    </xdr:from>
    <xdr:to>
      <xdr:col>18</xdr:col>
      <xdr:colOff>676274</xdr:colOff>
      <xdr:row>70</xdr:row>
      <xdr:rowOff>152400</xdr:rowOff>
    </xdr:to>
    <xdr:sp macro="" textlink="">
      <xdr:nvSpPr>
        <xdr:cNvPr id="35" name="Rechthoek 34">
          <a:extLst>
            <a:ext uri="{FF2B5EF4-FFF2-40B4-BE49-F238E27FC236}">
              <a16:creationId xmlns:a16="http://schemas.microsoft.com/office/drawing/2014/main" id="{66E8C6BF-F651-467C-B004-A7B861277286}"/>
            </a:ext>
          </a:extLst>
        </xdr:cNvPr>
        <xdr:cNvSpPr/>
      </xdr:nvSpPr>
      <xdr:spPr>
        <a:xfrm>
          <a:off x="2695574" y="15125700"/>
          <a:ext cx="1485900"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18</xdr:col>
      <xdr:colOff>695324</xdr:colOff>
      <xdr:row>68</xdr:row>
      <xdr:rowOff>38100</xdr:rowOff>
    </xdr:from>
    <xdr:to>
      <xdr:col>21</xdr:col>
      <xdr:colOff>1485900</xdr:colOff>
      <xdr:row>70</xdr:row>
      <xdr:rowOff>74250</xdr:rowOff>
    </xdr:to>
    <xdr:sp macro="" textlink="">
      <xdr:nvSpPr>
        <xdr:cNvPr id="48" name="Rechthoek 47">
          <a:extLst>
            <a:ext uri="{FF2B5EF4-FFF2-40B4-BE49-F238E27FC236}">
              <a16:creationId xmlns:a16="http://schemas.microsoft.com/office/drawing/2014/main" id="{055FB7F9-2DCB-4CF6-8A86-ACC91E0AF78D}"/>
            </a:ext>
          </a:extLst>
        </xdr:cNvPr>
        <xdr:cNvSpPr/>
      </xdr:nvSpPr>
      <xdr:spPr>
        <a:xfrm>
          <a:off x="4200524" y="15125700"/>
          <a:ext cx="2886076"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twoCellAnchor>
    <xdr:from>
      <xdr:col>12</xdr:col>
      <xdr:colOff>114301</xdr:colOff>
      <xdr:row>0</xdr:row>
      <xdr:rowOff>876299</xdr:rowOff>
    </xdr:from>
    <xdr:to>
      <xdr:col>22</xdr:col>
      <xdr:colOff>552451</xdr:colOff>
      <xdr:row>2</xdr:row>
      <xdr:rowOff>19049</xdr:rowOff>
    </xdr:to>
    <xdr:sp macro="" textlink="">
      <xdr:nvSpPr>
        <xdr:cNvPr id="49" name="Rechthoek: afgeronde hoeken 48">
          <a:extLst>
            <a:ext uri="{FF2B5EF4-FFF2-40B4-BE49-F238E27FC236}">
              <a16:creationId xmlns:a16="http://schemas.microsoft.com/office/drawing/2014/main" id="{A977F7C8-8FFD-4CAE-A7B0-FDF5277A7536}"/>
            </a:ext>
          </a:extLst>
        </xdr:cNvPr>
        <xdr:cNvSpPr/>
      </xdr:nvSpPr>
      <xdr:spPr>
        <a:xfrm>
          <a:off x="114301" y="876299"/>
          <a:ext cx="7753350" cy="228600"/>
        </a:xfrm>
        <a:prstGeom prst="roundRect">
          <a:avLst/>
        </a:prstGeom>
        <a:gradFill flip="none" rotWithShape="1">
          <a:gsLst>
            <a:gs pos="67000">
              <a:srgbClr val="B75F1B"/>
            </a:gs>
            <a:gs pos="81000">
              <a:srgbClr val="008295"/>
            </a:gs>
            <a:gs pos="50000">
              <a:srgbClr val="B75F1B"/>
            </a:gs>
            <a:gs pos="40000">
              <a:srgbClr val="944456"/>
            </a:gs>
            <a:gs pos="13000">
              <a:srgbClr val="B75F1B"/>
            </a:gs>
            <a:gs pos="15000">
              <a:srgbClr val="944456"/>
            </a:gs>
            <a:gs pos="100000">
              <a:srgbClr val="008295"/>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15</xdr:col>
      <xdr:colOff>685800</xdr:colOff>
      <xdr:row>0</xdr:row>
      <xdr:rowOff>561975</xdr:rowOff>
    </xdr:from>
    <xdr:to>
      <xdr:col>20</xdr:col>
      <xdr:colOff>9525</xdr:colOff>
      <xdr:row>3</xdr:row>
      <xdr:rowOff>85725</xdr:rowOff>
    </xdr:to>
    <xdr:sp macro="" textlink="">
      <xdr:nvSpPr>
        <xdr:cNvPr id="50" name="Rechthoek: afgeronde hoeken 49">
          <a:extLst>
            <a:ext uri="{FF2B5EF4-FFF2-40B4-BE49-F238E27FC236}">
              <a16:creationId xmlns:a16="http://schemas.microsoft.com/office/drawing/2014/main" id="{EC8F3181-A9FA-4478-862F-2063EE53633E}"/>
            </a:ext>
          </a:extLst>
        </xdr:cNvPr>
        <xdr:cNvSpPr/>
      </xdr:nvSpPr>
      <xdr:spPr>
        <a:xfrm>
          <a:off x="2095500" y="561975"/>
          <a:ext cx="3324225" cy="800100"/>
        </a:xfrm>
        <a:prstGeom prst="roundRect">
          <a:avLst>
            <a:gd name="adj" fmla="val 26667"/>
          </a:avLst>
        </a:prstGeom>
        <a:solidFill>
          <a:srgbClr val="FFFFFF">
            <a:alpha val="85098"/>
          </a:srgbClr>
        </a:solidFill>
        <a:ln>
          <a:solidFill>
            <a:srgbClr val="21415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b="1"/>
        </a:p>
      </xdr:txBody>
    </xdr:sp>
    <xdr:clientData/>
  </xdr:twoCellAnchor>
  <xdr:twoCellAnchor>
    <xdr:from>
      <xdr:col>15</xdr:col>
      <xdr:colOff>714375</xdr:colOff>
      <xdr:row>0</xdr:row>
      <xdr:rowOff>657225</xdr:rowOff>
    </xdr:from>
    <xdr:to>
      <xdr:col>20</xdr:col>
      <xdr:colOff>66675</xdr:colOff>
      <xdr:row>3</xdr:row>
      <xdr:rowOff>209550</xdr:rowOff>
    </xdr:to>
    <xdr:sp macro="" textlink="">
      <xdr:nvSpPr>
        <xdr:cNvPr id="51" name="Rechthoek 50">
          <a:extLst>
            <a:ext uri="{FF2B5EF4-FFF2-40B4-BE49-F238E27FC236}">
              <a16:creationId xmlns:a16="http://schemas.microsoft.com/office/drawing/2014/main" id="{872A7E19-604C-4AE1-89F4-77C78CCA6633}"/>
            </a:ext>
          </a:extLst>
        </xdr:cNvPr>
        <xdr:cNvSpPr/>
      </xdr:nvSpPr>
      <xdr:spPr>
        <a:xfrm>
          <a:off x="2124075" y="657225"/>
          <a:ext cx="3352800" cy="828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lang="nl-NL" sz="1100" b="1">
              <a:solidFill>
                <a:srgbClr val="214159"/>
              </a:solidFill>
              <a:latin typeface="Segoe UI" panose="020B0502040204020203" pitchFamily="34" charset="0"/>
              <a:ea typeface="Open Sans" panose="020B0606030504020204" pitchFamily="34" charset="0"/>
              <a:cs typeface="Segoe UI" panose="020B0502040204020203" pitchFamily="34" charset="0"/>
            </a:rPr>
            <a:t>Extra zekerheid met onze verzekering</a:t>
          </a:r>
        </a:p>
        <a:p>
          <a:pPr algn="l"/>
          <a:r>
            <a:rPr lang="nl-NL" sz="900" b="0">
              <a:solidFill>
                <a:srgbClr val="214159"/>
              </a:solidFill>
              <a:latin typeface="Segoe UI" panose="020B0502040204020203" pitchFamily="34" charset="0"/>
              <a:ea typeface="Open Sans" panose="020B0606030504020204" pitchFamily="34" charset="0"/>
              <a:cs typeface="Segoe UI" panose="020B0502040204020203" pitchFamily="34" charset="0"/>
            </a:rPr>
            <a:t>Vul je loon hieronder in en krijg een indicatie van je inkomen tijdens ziekte.</a:t>
          </a:r>
        </a:p>
      </xdr:txBody>
    </xdr:sp>
    <xdr:clientData/>
  </xdr:twoCellAnchor>
  <xdr:twoCellAnchor>
    <xdr:from>
      <xdr:col>12</xdr:col>
      <xdr:colOff>441822</xdr:colOff>
      <xdr:row>4</xdr:row>
      <xdr:rowOff>53403</xdr:rowOff>
    </xdr:from>
    <xdr:to>
      <xdr:col>12</xdr:col>
      <xdr:colOff>520202</xdr:colOff>
      <xdr:row>4</xdr:row>
      <xdr:rowOff>137097</xdr:rowOff>
    </xdr:to>
    <xdr:sp macro="" textlink="">
      <xdr:nvSpPr>
        <xdr:cNvPr id="52" name="Ovaal 51">
          <a:extLst>
            <a:ext uri="{FF2B5EF4-FFF2-40B4-BE49-F238E27FC236}">
              <a16:creationId xmlns:a16="http://schemas.microsoft.com/office/drawing/2014/main" id="{42B1BFF8-1A10-451A-9B32-CE8E696F9186}"/>
            </a:ext>
          </a:extLst>
        </xdr:cNvPr>
        <xdr:cNvSpPr/>
      </xdr:nvSpPr>
      <xdr:spPr>
        <a:xfrm>
          <a:off x="441822" y="1901253"/>
          <a:ext cx="78380" cy="83694"/>
        </a:xfrm>
        <a:prstGeom prst="ellipse">
          <a:avLst/>
        </a:prstGeom>
        <a:solidFill>
          <a:srgbClr val="B75F1B"/>
        </a:solidFill>
        <a:ln>
          <a:solidFill>
            <a:srgbClr val="B75F1B"/>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oneCellAnchor>
    <xdr:from>
      <xdr:col>12</xdr:col>
      <xdr:colOff>496810</xdr:colOff>
      <xdr:row>11</xdr:row>
      <xdr:rowOff>47625</xdr:rowOff>
    </xdr:from>
    <xdr:ext cx="676275" cy="676275"/>
    <xdr:pic>
      <xdr:nvPicPr>
        <xdr:cNvPr id="53" name="Afbeelding 36" descr="Badge: 1 silhouet">
          <a:extLst>
            <a:ext uri="{FF2B5EF4-FFF2-40B4-BE49-F238E27FC236}">
              <a16:creationId xmlns:a16="http://schemas.microsoft.com/office/drawing/2014/main" id="{994CF3FB-F175-41A7-A6DD-45EF102FAF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bwMode="auto">
        <a:xfrm>
          <a:off x="496810" y="442912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496810</xdr:colOff>
      <xdr:row>44</xdr:row>
      <xdr:rowOff>38100</xdr:rowOff>
    </xdr:from>
    <xdr:ext cx="676275" cy="676275"/>
    <xdr:pic>
      <xdr:nvPicPr>
        <xdr:cNvPr id="54" name="Afbeelding 37" descr="Badge silhouet">
          <a:extLst>
            <a:ext uri="{FF2B5EF4-FFF2-40B4-BE49-F238E27FC236}">
              <a16:creationId xmlns:a16="http://schemas.microsoft.com/office/drawing/2014/main" id="{3C172302-25B7-4782-8AD6-4F7F7CE1A7EC}"/>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bwMode="auto">
        <a:xfrm>
          <a:off x="496810" y="10572750"/>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161924</xdr:colOff>
      <xdr:row>84</xdr:row>
      <xdr:rowOff>76200</xdr:rowOff>
    </xdr:from>
    <xdr:to>
      <xdr:col>22</xdr:col>
      <xdr:colOff>9524</xdr:colOff>
      <xdr:row>101</xdr:row>
      <xdr:rowOff>66675</xdr:rowOff>
    </xdr:to>
    <xdr:graphicFrame macro="">
      <xdr:nvGraphicFramePr>
        <xdr:cNvPr id="55" name="Grafiek 54">
          <a:extLst>
            <a:ext uri="{FF2B5EF4-FFF2-40B4-BE49-F238E27FC236}">
              <a16:creationId xmlns:a16="http://schemas.microsoft.com/office/drawing/2014/main" id="{2D23EE9C-9CCB-4DC3-82C7-9A0CC4E3A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571500</xdr:colOff>
      <xdr:row>84</xdr:row>
      <xdr:rowOff>142875</xdr:rowOff>
    </xdr:from>
    <xdr:to>
      <xdr:col>15</xdr:col>
      <xdr:colOff>581025</xdr:colOff>
      <xdr:row>101</xdr:row>
      <xdr:rowOff>38100</xdr:rowOff>
    </xdr:to>
    <xdr:cxnSp macro="">
      <xdr:nvCxnSpPr>
        <xdr:cNvPr id="56" name="Rechte verbindingslijn 55">
          <a:extLst>
            <a:ext uri="{FF2B5EF4-FFF2-40B4-BE49-F238E27FC236}">
              <a16:creationId xmlns:a16="http://schemas.microsoft.com/office/drawing/2014/main" id="{1EE1320F-4C98-4BD0-A516-B26A3BA0BF41}"/>
            </a:ext>
          </a:extLst>
        </xdr:cNvPr>
        <xdr:cNvCxnSpPr/>
      </xdr:nvCxnSpPr>
      <xdr:spPr>
        <a:xfrm flipH="1">
          <a:off x="1981200" y="18268950"/>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1314450</xdr:colOff>
      <xdr:row>85</xdr:row>
      <xdr:rowOff>0</xdr:rowOff>
    </xdr:from>
    <xdr:to>
      <xdr:col>15</xdr:col>
      <xdr:colOff>1323975</xdr:colOff>
      <xdr:row>101</xdr:row>
      <xdr:rowOff>57150</xdr:rowOff>
    </xdr:to>
    <xdr:cxnSp macro="">
      <xdr:nvCxnSpPr>
        <xdr:cNvPr id="57" name="Rechte verbindingslijn 56">
          <a:extLst>
            <a:ext uri="{FF2B5EF4-FFF2-40B4-BE49-F238E27FC236}">
              <a16:creationId xmlns:a16="http://schemas.microsoft.com/office/drawing/2014/main" id="{7E1C4EE3-10B7-4A29-97A4-DA92B0CCA148}"/>
            </a:ext>
          </a:extLst>
        </xdr:cNvPr>
        <xdr:cNvCxnSpPr/>
      </xdr:nvCxnSpPr>
      <xdr:spPr>
        <a:xfrm flipH="1">
          <a:off x="2724150" y="18316575"/>
          <a:ext cx="9525" cy="310515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695325</xdr:colOff>
      <xdr:row>85</xdr:row>
      <xdr:rowOff>152400</xdr:rowOff>
    </xdr:from>
    <xdr:to>
      <xdr:col>18</xdr:col>
      <xdr:colOff>704850</xdr:colOff>
      <xdr:row>102</xdr:row>
      <xdr:rowOff>47625</xdr:rowOff>
    </xdr:to>
    <xdr:cxnSp macro="">
      <xdr:nvCxnSpPr>
        <xdr:cNvPr id="58" name="Rechte verbindingslijn 57">
          <a:extLst>
            <a:ext uri="{FF2B5EF4-FFF2-40B4-BE49-F238E27FC236}">
              <a16:creationId xmlns:a16="http://schemas.microsoft.com/office/drawing/2014/main" id="{CBE0C3BA-5A01-471A-8085-C722507339DB}"/>
            </a:ext>
          </a:extLst>
        </xdr:cNvPr>
        <xdr:cNvCxnSpPr/>
      </xdr:nvCxnSpPr>
      <xdr:spPr>
        <a:xfrm flipH="1">
          <a:off x="4200525" y="18468975"/>
          <a:ext cx="9525" cy="3133725"/>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57150</xdr:colOff>
      <xdr:row>101</xdr:row>
      <xdr:rowOff>38100</xdr:rowOff>
    </xdr:from>
    <xdr:to>
      <xdr:col>15</xdr:col>
      <xdr:colOff>552450</xdr:colOff>
      <xdr:row>103</xdr:row>
      <xdr:rowOff>74250</xdr:rowOff>
    </xdr:to>
    <xdr:sp macro="" textlink="">
      <xdr:nvSpPr>
        <xdr:cNvPr id="59" name="Rechthoek 58">
          <a:extLst>
            <a:ext uri="{FF2B5EF4-FFF2-40B4-BE49-F238E27FC236}">
              <a16:creationId xmlns:a16="http://schemas.microsoft.com/office/drawing/2014/main" id="{9BC89C59-4891-41B5-AB71-FABF426EAAA3}"/>
            </a:ext>
          </a:extLst>
        </xdr:cNvPr>
        <xdr:cNvSpPr/>
      </xdr:nvSpPr>
      <xdr:spPr>
        <a:xfrm>
          <a:off x="1276350" y="21402675"/>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1e jaar</a:t>
          </a:r>
        </a:p>
      </xdr:txBody>
    </xdr:sp>
    <xdr:clientData/>
  </xdr:twoCellAnchor>
  <xdr:twoCellAnchor>
    <xdr:from>
      <xdr:col>15</xdr:col>
      <xdr:colOff>571500</xdr:colOff>
      <xdr:row>101</xdr:row>
      <xdr:rowOff>38100</xdr:rowOff>
    </xdr:from>
    <xdr:to>
      <xdr:col>15</xdr:col>
      <xdr:colOff>1257300</xdr:colOff>
      <xdr:row>103</xdr:row>
      <xdr:rowOff>74250</xdr:rowOff>
    </xdr:to>
    <xdr:sp macro="" textlink="">
      <xdr:nvSpPr>
        <xdr:cNvPr id="60" name="Rechthoek 59">
          <a:extLst>
            <a:ext uri="{FF2B5EF4-FFF2-40B4-BE49-F238E27FC236}">
              <a16:creationId xmlns:a16="http://schemas.microsoft.com/office/drawing/2014/main" id="{000CCE8C-B5D9-44B9-AB12-7B5BC8F16669}"/>
            </a:ext>
          </a:extLst>
        </xdr:cNvPr>
        <xdr:cNvSpPr/>
      </xdr:nvSpPr>
      <xdr:spPr>
        <a:xfrm>
          <a:off x="1981200" y="21402675"/>
          <a:ext cx="685800"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2e jaar</a:t>
          </a:r>
        </a:p>
      </xdr:txBody>
    </xdr:sp>
    <xdr:clientData/>
  </xdr:twoCellAnchor>
  <xdr:twoCellAnchor>
    <xdr:from>
      <xdr:col>15</xdr:col>
      <xdr:colOff>1285874</xdr:colOff>
      <xdr:row>101</xdr:row>
      <xdr:rowOff>38100</xdr:rowOff>
    </xdr:from>
    <xdr:to>
      <xdr:col>18</xdr:col>
      <xdr:colOff>676274</xdr:colOff>
      <xdr:row>104</xdr:row>
      <xdr:rowOff>9525</xdr:rowOff>
    </xdr:to>
    <xdr:sp macro="" textlink="">
      <xdr:nvSpPr>
        <xdr:cNvPr id="61" name="Rechthoek 60">
          <a:extLst>
            <a:ext uri="{FF2B5EF4-FFF2-40B4-BE49-F238E27FC236}">
              <a16:creationId xmlns:a16="http://schemas.microsoft.com/office/drawing/2014/main" id="{04B2C0BC-F14C-44FF-949C-BA93432E5434}"/>
            </a:ext>
          </a:extLst>
        </xdr:cNvPr>
        <xdr:cNvSpPr/>
      </xdr:nvSpPr>
      <xdr:spPr>
        <a:xfrm>
          <a:off x="2695574" y="21402675"/>
          <a:ext cx="1485900" cy="542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vanaf jaar 3 </a:t>
          </a:r>
        </a:p>
        <a:p>
          <a:pPr algn="ctr"/>
          <a:r>
            <a:rPr lang="nl-NL" sz="1100">
              <a:solidFill>
                <a:srgbClr val="B75F1B"/>
              </a:solidFill>
              <a:latin typeface="Segoe UI" panose="020B0502040204020203" pitchFamily="34" charset="0"/>
              <a:cs typeface="Segoe UI" panose="020B0502040204020203" pitchFamily="34" charset="0"/>
            </a:rPr>
            <a:t>(max 24 maanden)</a:t>
          </a:r>
        </a:p>
      </xdr:txBody>
    </xdr:sp>
    <xdr:clientData/>
  </xdr:twoCellAnchor>
  <xdr:twoCellAnchor>
    <xdr:from>
      <xdr:col>18</xdr:col>
      <xdr:colOff>695324</xdr:colOff>
      <xdr:row>101</xdr:row>
      <xdr:rowOff>38100</xdr:rowOff>
    </xdr:from>
    <xdr:to>
      <xdr:col>21</xdr:col>
      <xdr:colOff>1485900</xdr:colOff>
      <xdr:row>103</xdr:row>
      <xdr:rowOff>74250</xdr:rowOff>
    </xdr:to>
    <xdr:sp macro="" textlink="">
      <xdr:nvSpPr>
        <xdr:cNvPr id="62" name="Rechthoek 61">
          <a:extLst>
            <a:ext uri="{FF2B5EF4-FFF2-40B4-BE49-F238E27FC236}">
              <a16:creationId xmlns:a16="http://schemas.microsoft.com/office/drawing/2014/main" id="{7C462BD7-E2A7-4F9B-A404-6AD4C8B34750}"/>
            </a:ext>
          </a:extLst>
        </xdr:cNvPr>
        <xdr:cNvSpPr/>
      </xdr:nvSpPr>
      <xdr:spPr>
        <a:xfrm>
          <a:off x="4200524" y="21402675"/>
          <a:ext cx="2886076" cy="417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nl-NL" sz="1100">
              <a:solidFill>
                <a:srgbClr val="B75F1B"/>
              </a:solidFill>
              <a:latin typeface="Segoe UI" panose="020B0502040204020203" pitchFamily="34" charset="0"/>
              <a:cs typeface="Segoe UI" panose="020B0502040204020203" pitchFamily="34" charset="0"/>
            </a:rPr>
            <a:t>tot AOW-leeftijd</a:t>
          </a:r>
        </a:p>
      </xdr:txBody>
    </xdr:sp>
    <xdr:clientData/>
  </xdr:twoCellAnchor>
  <xdr:oneCellAnchor>
    <xdr:from>
      <xdr:col>12</xdr:col>
      <xdr:colOff>496810</xdr:colOff>
      <xdr:row>77</xdr:row>
      <xdr:rowOff>142875</xdr:rowOff>
    </xdr:from>
    <xdr:ext cx="676275" cy="676275"/>
    <xdr:pic>
      <xdr:nvPicPr>
        <xdr:cNvPr id="63" name="Afbeelding 46" descr="Badge 3 silhouet">
          <a:extLst>
            <a:ext uri="{FF2B5EF4-FFF2-40B4-BE49-F238E27FC236}">
              <a16:creationId xmlns:a16="http://schemas.microsoft.com/office/drawing/2014/main" id="{42CC7D66-17BF-4B5E-A8EB-6B3795331F84}"/>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rcRect/>
        <a:stretch/>
      </xdr:blipFill>
      <xdr:spPr bwMode="auto">
        <a:xfrm>
          <a:off x="496810" y="16944975"/>
          <a:ext cx="676275" cy="6762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11</xdr:col>
      <xdr:colOff>480385</xdr:colOff>
      <xdr:row>238</xdr:row>
      <xdr:rowOff>49690</xdr:rowOff>
    </xdr:from>
    <xdr:to>
      <xdr:col>20</xdr:col>
      <xdr:colOff>327986</xdr:colOff>
      <xdr:row>258</xdr:row>
      <xdr:rowOff>64598</xdr:rowOff>
    </xdr:to>
    <xdr:graphicFrame macro="">
      <xdr:nvGraphicFramePr>
        <xdr:cNvPr id="240" name="Grafiek 239">
          <a:extLst>
            <a:ext uri="{FF2B5EF4-FFF2-40B4-BE49-F238E27FC236}">
              <a16:creationId xmlns:a16="http://schemas.microsoft.com/office/drawing/2014/main" id="{E102FF19-7D01-4CEC-A728-DB7D59518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480385</xdr:colOff>
      <xdr:row>179</xdr:row>
      <xdr:rowOff>49690</xdr:rowOff>
    </xdr:from>
    <xdr:to>
      <xdr:col>20</xdr:col>
      <xdr:colOff>327986</xdr:colOff>
      <xdr:row>199</xdr:row>
      <xdr:rowOff>64598</xdr:rowOff>
    </xdr:to>
    <xdr:graphicFrame macro="">
      <xdr:nvGraphicFramePr>
        <xdr:cNvPr id="91" name="Grafiek 90">
          <a:extLst>
            <a:ext uri="{FF2B5EF4-FFF2-40B4-BE49-F238E27FC236}">
              <a16:creationId xmlns:a16="http://schemas.microsoft.com/office/drawing/2014/main" id="{66110840-DD2C-4DBE-ADE4-E1A972C352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311821</xdr:colOff>
      <xdr:row>179</xdr:row>
      <xdr:rowOff>85762</xdr:rowOff>
    </xdr:from>
    <xdr:to>
      <xdr:col>20</xdr:col>
      <xdr:colOff>2351</xdr:colOff>
      <xdr:row>206</xdr:row>
      <xdr:rowOff>14285</xdr:rowOff>
    </xdr:to>
    <xdr:grpSp>
      <xdr:nvGrpSpPr>
        <xdr:cNvPr id="42" name="Groep 41">
          <a:extLst>
            <a:ext uri="{FF2B5EF4-FFF2-40B4-BE49-F238E27FC236}">
              <a16:creationId xmlns:a16="http://schemas.microsoft.com/office/drawing/2014/main" id="{5C11E1B4-F0BA-AF57-6356-0617B4BD5F66}"/>
            </a:ext>
          </a:extLst>
        </xdr:cNvPr>
        <xdr:cNvGrpSpPr/>
      </xdr:nvGrpSpPr>
      <xdr:grpSpPr>
        <a:xfrm>
          <a:off x="597571" y="13135012"/>
          <a:ext cx="12387355" cy="4300498"/>
          <a:chOff x="982317" y="21869400"/>
          <a:chExt cx="11817705" cy="4300537"/>
        </a:xfrm>
      </xdr:grpSpPr>
      <xdr:grpSp>
        <xdr:nvGrpSpPr>
          <xdr:cNvPr id="39" name="Groep 38">
            <a:extLst>
              <a:ext uri="{FF2B5EF4-FFF2-40B4-BE49-F238E27FC236}">
                <a16:creationId xmlns:a16="http://schemas.microsoft.com/office/drawing/2014/main" id="{F3D57E43-D329-BDCB-EE4E-309ACD51374D}"/>
              </a:ext>
            </a:extLst>
          </xdr:cNvPr>
          <xdr:cNvGrpSpPr/>
        </xdr:nvGrpSpPr>
        <xdr:grpSpPr>
          <a:xfrm>
            <a:off x="982317" y="21869400"/>
            <a:ext cx="11817705" cy="4300537"/>
            <a:chOff x="1068042" y="18802350"/>
            <a:chExt cx="11817705" cy="4300537"/>
          </a:xfrm>
        </xdr:grpSpPr>
        <xdr:graphicFrame macro="">
          <xdr:nvGraphicFramePr>
            <xdr:cNvPr id="3" name="Grafiek 2">
              <a:extLst>
                <a:ext uri="{FF2B5EF4-FFF2-40B4-BE49-F238E27FC236}">
                  <a16:creationId xmlns:a16="http://schemas.microsoft.com/office/drawing/2014/main" id="{8093B874-5909-4700-AE60-B8CCC51315DF}"/>
                </a:ext>
              </a:extLst>
            </xdr:cNvPr>
            <xdr:cNvGraphicFramePr>
              <a:graphicFrameLocks/>
            </xdr:cNvGraphicFramePr>
          </xdr:nvGraphicFramePr>
          <xdr:xfrm>
            <a:off x="1068042" y="18802350"/>
            <a:ext cx="5667789" cy="3249681"/>
          </xdr:xfrm>
          <a:graphic>
            <a:graphicData uri="http://schemas.openxmlformats.org/drawingml/2006/chart">
              <c:chart xmlns:c="http://schemas.openxmlformats.org/drawingml/2006/chart" xmlns:r="http://schemas.openxmlformats.org/officeDocument/2006/relationships" r:id="rId3"/>
            </a:graphicData>
          </a:graphic>
        </xdr:graphicFrame>
        <xdr:sp macro="" textlink="Grafiekblad!B9">
          <xdr:nvSpPr>
            <xdr:cNvPr id="14" name="Rechthoek 13">
              <a:extLst>
                <a:ext uri="{FF2B5EF4-FFF2-40B4-BE49-F238E27FC236}">
                  <a16:creationId xmlns:a16="http://schemas.microsoft.com/office/drawing/2014/main" id="{009436F7-9979-73A7-7CFA-CDB264CB18D5}"/>
                </a:ext>
              </a:extLst>
            </xdr:cNvPr>
            <xdr:cNvSpPr/>
          </xdr:nvSpPr>
          <xdr:spPr>
            <a:xfrm rot="16200000">
              <a:off x="7777952"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0F1AD55C-F564-45D3-AD5D-45ECC12BBC2D}"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15" name="Rechthoek 14">
              <a:extLst>
                <a:ext uri="{FF2B5EF4-FFF2-40B4-BE49-F238E27FC236}">
                  <a16:creationId xmlns:a16="http://schemas.microsoft.com/office/drawing/2014/main" id="{23517DB9-475E-4883-B03F-4D0E70292214}"/>
                </a:ext>
              </a:extLst>
            </xdr:cNvPr>
            <xdr:cNvSpPr/>
          </xdr:nvSpPr>
          <xdr:spPr>
            <a:xfrm rot="16200000">
              <a:off x="8416124"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7503B021-8B06-43E2-9C44-E9A16987960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16" name="Rechthoek 15">
              <a:extLst>
                <a:ext uri="{FF2B5EF4-FFF2-40B4-BE49-F238E27FC236}">
                  <a16:creationId xmlns:a16="http://schemas.microsoft.com/office/drawing/2014/main" id="{449C4032-442D-4EE7-BF7F-1E7183BBF61C}"/>
                </a:ext>
              </a:extLst>
            </xdr:cNvPr>
            <xdr:cNvSpPr/>
          </xdr:nvSpPr>
          <xdr:spPr>
            <a:xfrm rot="16200000">
              <a:off x="9044776"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5BB5F1F-61B9-4EF4-8EEB-05A2E15D8662}"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17" name="Rechthoek 16">
              <a:extLst>
                <a:ext uri="{FF2B5EF4-FFF2-40B4-BE49-F238E27FC236}">
                  <a16:creationId xmlns:a16="http://schemas.microsoft.com/office/drawing/2014/main" id="{A74FE764-74AE-4C10-9E2B-4E99B6E69AC0}"/>
                </a:ext>
              </a:extLst>
            </xdr:cNvPr>
            <xdr:cNvSpPr/>
          </xdr:nvSpPr>
          <xdr:spPr>
            <a:xfrm rot="16200000">
              <a:off x="9644853"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EDB794E1-68EE-4C9E-B626-4E7F26F5978F}"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S13">
          <xdr:nvSpPr>
            <xdr:cNvPr id="19" name="Rechthoek 18">
              <a:extLst>
                <a:ext uri="{FF2B5EF4-FFF2-40B4-BE49-F238E27FC236}">
                  <a16:creationId xmlns:a16="http://schemas.microsoft.com/office/drawing/2014/main" id="{CAF7AA8F-9FFE-43A0-8347-C7CDA02C5260}"/>
                </a:ext>
              </a:extLst>
            </xdr:cNvPr>
            <xdr:cNvSpPr/>
          </xdr:nvSpPr>
          <xdr:spPr>
            <a:xfrm rot="16200000">
              <a:off x="10273500"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F6CA5BF9-741B-4021-B05C-B65FCC38EB1D}"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S14">
          <xdr:nvSpPr>
            <xdr:cNvPr id="26" name="Rechthoek 25">
              <a:extLst>
                <a:ext uri="{FF2B5EF4-FFF2-40B4-BE49-F238E27FC236}">
                  <a16:creationId xmlns:a16="http://schemas.microsoft.com/office/drawing/2014/main" id="{84160CAE-E8C0-4D23-9A5C-63FC0BC360A5}"/>
                </a:ext>
              </a:extLst>
            </xdr:cNvPr>
            <xdr:cNvSpPr/>
          </xdr:nvSpPr>
          <xdr:spPr>
            <a:xfrm rot="16200000">
              <a:off x="10864049"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FD2FE58A-1F89-4B70-B0ED-B9237A0C063A}"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S15">
          <xdr:nvSpPr>
            <xdr:cNvPr id="28" name="Rechthoek 27">
              <a:extLst>
                <a:ext uri="{FF2B5EF4-FFF2-40B4-BE49-F238E27FC236}">
                  <a16:creationId xmlns:a16="http://schemas.microsoft.com/office/drawing/2014/main" id="{8F067F2A-1699-426E-84FC-90EA9F4C1396}"/>
                </a:ext>
              </a:extLst>
            </xdr:cNvPr>
            <xdr:cNvSpPr/>
          </xdr:nvSpPr>
          <xdr:spPr>
            <a:xfrm rot="16200000">
              <a:off x="11473658"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9CA13F-F4E2-45E8-AB83-3DC6F67CE18A}"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6">
          <xdr:nvSpPr>
            <xdr:cNvPr id="29" name="Rechthoek 28">
              <a:extLst>
                <a:ext uri="{FF2B5EF4-FFF2-40B4-BE49-F238E27FC236}">
                  <a16:creationId xmlns:a16="http://schemas.microsoft.com/office/drawing/2014/main" id="{B60B8EA7-BCF0-4F34-9EEF-5011DBAA8F09}"/>
                </a:ext>
              </a:extLst>
            </xdr:cNvPr>
            <xdr:cNvSpPr/>
          </xdr:nvSpPr>
          <xdr:spPr>
            <a:xfrm rot="16200000">
              <a:off x="12073741"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AC1B3B5-A1A3-4FDA-8F28-AD0FC6784B2F}"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9">
          <xdr:nvSpPr>
            <xdr:cNvPr id="30" name="Rechthoek 29">
              <a:extLst>
                <a:ext uri="{FF2B5EF4-FFF2-40B4-BE49-F238E27FC236}">
                  <a16:creationId xmlns:a16="http://schemas.microsoft.com/office/drawing/2014/main" id="{FD50E902-974D-4DB6-9424-8D8B4AEAF1E9}"/>
                </a:ext>
              </a:extLst>
            </xdr:cNvPr>
            <xdr:cNvSpPr/>
          </xdr:nvSpPr>
          <xdr:spPr>
            <a:xfrm rot="16200000">
              <a:off x="13120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C3ECD48-1915-4CFE-9DA7-73309C4367B8}"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31" name="Rechthoek 30">
              <a:extLst>
                <a:ext uri="{FF2B5EF4-FFF2-40B4-BE49-F238E27FC236}">
                  <a16:creationId xmlns:a16="http://schemas.microsoft.com/office/drawing/2014/main" id="{48389B24-E5BE-4D8C-BD19-D839D4D463AE}"/>
                </a:ext>
              </a:extLst>
            </xdr:cNvPr>
            <xdr:cNvSpPr/>
          </xdr:nvSpPr>
          <xdr:spPr>
            <a:xfrm rot="16200000">
              <a:off x="19502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37DFB22-23BC-4FBE-AACE-1DAFC86704A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32" name="Rechthoek 31">
              <a:extLst>
                <a:ext uri="{FF2B5EF4-FFF2-40B4-BE49-F238E27FC236}">
                  <a16:creationId xmlns:a16="http://schemas.microsoft.com/office/drawing/2014/main" id="{D7481E00-5223-45B4-9867-F859F006F1F8}"/>
                </a:ext>
              </a:extLst>
            </xdr:cNvPr>
            <xdr:cNvSpPr/>
          </xdr:nvSpPr>
          <xdr:spPr>
            <a:xfrm rot="16200000">
              <a:off x="257889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47D7B36-3432-48F8-9291-209AC48EFA4F}"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33" name="Rechthoek 32">
              <a:extLst>
                <a:ext uri="{FF2B5EF4-FFF2-40B4-BE49-F238E27FC236}">
                  <a16:creationId xmlns:a16="http://schemas.microsoft.com/office/drawing/2014/main" id="{92671EAB-FF31-4C1B-A702-060AD3477F6E}"/>
                </a:ext>
              </a:extLst>
            </xdr:cNvPr>
            <xdr:cNvSpPr/>
          </xdr:nvSpPr>
          <xdr:spPr>
            <a:xfrm rot="16200000">
              <a:off x="31789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B5FF95C-44F9-4C28-89B4-21D8432491A3}"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B13">
          <xdr:nvSpPr>
            <xdr:cNvPr id="34" name="Rechthoek 33">
              <a:extLst>
                <a:ext uri="{FF2B5EF4-FFF2-40B4-BE49-F238E27FC236}">
                  <a16:creationId xmlns:a16="http://schemas.microsoft.com/office/drawing/2014/main" id="{767578CC-2639-4F1F-B190-5CB28D6F7DC4}"/>
                </a:ext>
              </a:extLst>
            </xdr:cNvPr>
            <xdr:cNvSpPr/>
          </xdr:nvSpPr>
          <xdr:spPr>
            <a:xfrm rot="16200000">
              <a:off x="380761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3F7F47-12A9-42ED-8D5F-C141D621BE4D}"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4">
          <xdr:nvSpPr>
            <xdr:cNvPr id="35" name="Rechthoek 34">
              <a:extLst>
                <a:ext uri="{FF2B5EF4-FFF2-40B4-BE49-F238E27FC236}">
                  <a16:creationId xmlns:a16="http://schemas.microsoft.com/office/drawing/2014/main" id="{5653079F-F257-4ECA-8158-B570918B2FC6}"/>
                </a:ext>
              </a:extLst>
            </xdr:cNvPr>
            <xdr:cNvSpPr/>
          </xdr:nvSpPr>
          <xdr:spPr>
            <a:xfrm rot="16200000">
              <a:off x="43981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7F5AE73-099A-40F5-A0A8-19BF97A39D03}"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5">
          <xdr:nvSpPr>
            <xdr:cNvPr id="36" name="Rechthoek 35">
              <a:extLst>
                <a:ext uri="{FF2B5EF4-FFF2-40B4-BE49-F238E27FC236}">
                  <a16:creationId xmlns:a16="http://schemas.microsoft.com/office/drawing/2014/main" id="{97C3A7E9-74F4-44DA-9BCC-05D52012F6C4}"/>
                </a:ext>
              </a:extLst>
            </xdr:cNvPr>
            <xdr:cNvSpPr/>
          </xdr:nvSpPr>
          <xdr:spPr>
            <a:xfrm rot="16200000">
              <a:off x="50077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12B2758-A014-41CE-8101-7FE543B6C069}"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6">
          <xdr:nvSpPr>
            <xdr:cNvPr id="37" name="Rechthoek 36">
              <a:extLst>
                <a:ext uri="{FF2B5EF4-FFF2-40B4-BE49-F238E27FC236}">
                  <a16:creationId xmlns:a16="http://schemas.microsoft.com/office/drawing/2014/main" id="{4E36A10F-6881-4F6E-8736-FCDD8D60057D}"/>
                </a:ext>
              </a:extLst>
            </xdr:cNvPr>
            <xdr:cNvSpPr/>
          </xdr:nvSpPr>
          <xdr:spPr>
            <a:xfrm rot="16200000">
              <a:off x="56078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1D4AB5-D1E3-4D11-ABF4-7CED29BDBB26}"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grpSp>
      <xdr:cxnSp macro="">
        <xdr:nvCxnSpPr>
          <xdr:cNvPr id="4" name="Rechte verbindingslijn 3">
            <a:extLst>
              <a:ext uri="{FF2B5EF4-FFF2-40B4-BE49-F238E27FC236}">
                <a16:creationId xmlns:a16="http://schemas.microsoft.com/office/drawing/2014/main" id="{81F095DF-E690-4CBF-B287-6B5C6F442D48}"/>
              </a:ext>
            </a:extLst>
          </xdr:cNvPr>
          <xdr:cNvCxnSpPr/>
        </xdr:nvCxnSpPr>
        <xdr:spPr>
          <a:xfrm flipH="1">
            <a:off x="2707219" y="21962255"/>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5" name="Rechte verbindingslijn 4">
            <a:extLst>
              <a:ext uri="{FF2B5EF4-FFF2-40B4-BE49-F238E27FC236}">
                <a16:creationId xmlns:a16="http://schemas.microsoft.com/office/drawing/2014/main" id="{3660443D-D2A7-48FC-BD03-21868565AE70}"/>
              </a:ext>
            </a:extLst>
          </xdr:cNvPr>
          <xdr:cNvCxnSpPr/>
        </xdr:nvCxnSpPr>
        <xdr:spPr>
          <a:xfrm flipH="1">
            <a:off x="2084781" y="21985269"/>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8" name="Rechte verbindingslijn 7">
            <a:extLst>
              <a:ext uri="{FF2B5EF4-FFF2-40B4-BE49-F238E27FC236}">
                <a16:creationId xmlns:a16="http://schemas.microsoft.com/office/drawing/2014/main" id="{40694D22-EFF6-4F8F-9DB8-CC62398F48A6}"/>
              </a:ext>
            </a:extLst>
          </xdr:cNvPr>
          <xdr:cNvCxnSpPr/>
        </xdr:nvCxnSpPr>
        <xdr:spPr>
          <a:xfrm flipH="1">
            <a:off x="3335869" y="21981305"/>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1" name="Rechte verbindingslijn 10">
            <a:extLst>
              <a:ext uri="{FF2B5EF4-FFF2-40B4-BE49-F238E27FC236}">
                <a16:creationId xmlns:a16="http://schemas.microsoft.com/office/drawing/2014/main" id="{802B97FB-D5BE-4412-9C21-8FDCF81E70C1}"/>
              </a:ext>
            </a:extLst>
          </xdr:cNvPr>
          <xdr:cNvCxnSpPr/>
        </xdr:nvCxnSpPr>
        <xdr:spPr>
          <a:xfrm flipH="1">
            <a:off x="9169644" y="21960599"/>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2" name="Rechte verbindingslijn 11">
            <a:extLst>
              <a:ext uri="{FF2B5EF4-FFF2-40B4-BE49-F238E27FC236}">
                <a16:creationId xmlns:a16="http://schemas.microsoft.com/office/drawing/2014/main" id="{A587FCF5-F961-4142-B726-089A88EFC3CD}"/>
              </a:ext>
            </a:extLst>
          </xdr:cNvPr>
          <xdr:cNvCxnSpPr/>
        </xdr:nvCxnSpPr>
        <xdr:spPr>
          <a:xfrm flipH="1">
            <a:off x="8538118" y="21983613"/>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13" name="Rechte verbindingslijn 12">
            <a:extLst>
              <a:ext uri="{FF2B5EF4-FFF2-40B4-BE49-F238E27FC236}">
                <a16:creationId xmlns:a16="http://schemas.microsoft.com/office/drawing/2014/main" id="{46C2F005-E12D-40FA-B9BD-0E1760477CE8}"/>
              </a:ext>
            </a:extLst>
          </xdr:cNvPr>
          <xdr:cNvCxnSpPr/>
        </xdr:nvCxnSpPr>
        <xdr:spPr>
          <a:xfrm flipH="1">
            <a:off x="9805693" y="21979649"/>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337925</xdr:colOff>
      <xdr:row>168</xdr:row>
      <xdr:rowOff>171451</xdr:rowOff>
    </xdr:from>
    <xdr:to>
      <xdr:col>2</xdr:col>
      <xdr:colOff>290300</xdr:colOff>
      <xdr:row>172</xdr:row>
      <xdr:rowOff>1</xdr:rowOff>
    </xdr:to>
    <xdr:pic>
      <xdr:nvPicPr>
        <xdr:cNvPr id="38" name="Afbeelding 36" descr="Badge: 1 silhouet">
          <a:extLst>
            <a:ext uri="{FF2B5EF4-FFF2-40B4-BE49-F238E27FC236}">
              <a16:creationId xmlns:a16="http://schemas.microsoft.com/office/drawing/2014/main" id="{E0871F40-7559-4B6C-AD1E-81095199718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11251" y="26062886"/>
          <a:ext cx="565288"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438150</xdr:colOff>
      <xdr:row>156</xdr:row>
      <xdr:rowOff>85725</xdr:rowOff>
    </xdr:from>
    <xdr:to>
      <xdr:col>19</xdr:col>
      <xdr:colOff>657225</xdr:colOff>
      <xdr:row>159</xdr:row>
      <xdr:rowOff>76200</xdr:rowOff>
    </xdr:to>
    <xdr:sp macro="" textlink="">
      <xdr:nvSpPr>
        <xdr:cNvPr id="40" name="Rechthoek 39">
          <a:extLst>
            <a:ext uri="{FF2B5EF4-FFF2-40B4-BE49-F238E27FC236}">
              <a16:creationId xmlns:a16="http://schemas.microsoft.com/office/drawing/2014/main" id="{37683E73-5C2E-B5EE-8C87-70F34535A75B}"/>
            </a:ext>
          </a:extLst>
        </xdr:cNvPr>
        <xdr:cNvSpPr/>
      </xdr:nvSpPr>
      <xdr:spPr>
        <a:xfrm>
          <a:off x="1323975" y="18307050"/>
          <a:ext cx="10791825" cy="476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a:solidFill>
                <a:schemeClr val="bg1"/>
              </a:solidFill>
              <a:latin typeface="Muli Light" panose="00000400000000000000" pitchFamily="2" charset="0"/>
            </a:rPr>
            <a:t>Hieronder vind je een aantal voorbeelden van wat er met je inkomen gebeurt als je arbeidsongeschikt wordt. </a:t>
          </a:r>
        </a:p>
      </xdr:txBody>
    </xdr:sp>
    <xdr:clientData/>
  </xdr:twoCellAnchor>
  <xdr:twoCellAnchor>
    <xdr:from>
      <xdr:col>12</xdr:col>
      <xdr:colOff>580040</xdr:colOff>
      <xdr:row>162</xdr:row>
      <xdr:rowOff>51352</xdr:rowOff>
    </xdr:from>
    <xdr:to>
      <xdr:col>14</xdr:col>
      <xdr:colOff>475827</xdr:colOff>
      <xdr:row>167</xdr:row>
      <xdr:rowOff>79927</xdr:rowOff>
    </xdr:to>
    <xdr:grpSp>
      <xdr:nvGrpSpPr>
        <xdr:cNvPr id="50" name="Groep 49">
          <a:extLst>
            <a:ext uri="{FF2B5EF4-FFF2-40B4-BE49-F238E27FC236}">
              <a16:creationId xmlns:a16="http://schemas.microsoft.com/office/drawing/2014/main" id="{E9235DBD-EF80-03A1-38DC-227EAA6A0349}"/>
            </a:ext>
          </a:extLst>
        </xdr:cNvPr>
        <xdr:cNvGrpSpPr/>
      </xdr:nvGrpSpPr>
      <xdr:grpSpPr>
        <a:xfrm>
          <a:off x="8104790" y="10195477"/>
          <a:ext cx="1172137" cy="838200"/>
          <a:chOff x="3664079" y="20802600"/>
          <a:chExt cx="1571357" cy="1133886"/>
        </a:xfrm>
      </xdr:grpSpPr>
      <xdr:sp macro="" textlink="">
        <xdr:nvSpPr>
          <xdr:cNvPr id="46" name="Ovaal 45">
            <a:extLst>
              <a:ext uri="{FF2B5EF4-FFF2-40B4-BE49-F238E27FC236}">
                <a16:creationId xmlns:a16="http://schemas.microsoft.com/office/drawing/2014/main" id="{379A49BD-181E-4BD6-9F4E-141F97E0F35D}"/>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G$114">
        <xdr:nvSpPr>
          <xdr:cNvPr id="48" name="Ovaal 47">
            <a:extLst>
              <a:ext uri="{FF2B5EF4-FFF2-40B4-BE49-F238E27FC236}">
                <a16:creationId xmlns:a16="http://schemas.microsoft.com/office/drawing/2014/main" id="{B8D2E5DB-032B-4C13-A01E-7E7486673469}"/>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CAF69384-92B9-46BD-8F7B-B67F869F126E}" type="TxLink">
              <a:rPr lang="en-US" sz="1000" b="0" i="0" u="none" strike="noStrike">
                <a:solidFill>
                  <a:srgbClr val="000000"/>
                </a:solidFill>
                <a:latin typeface="Muli Light"/>
              </a:rPr>
              <a:pPr algn="ctr"/>
              <a:t>€ 302,40 bruto per jaar</a:t>
            </a:fld>
            <a:endParaRPr lang="nl-NL" sz="1100"/>
          </a:p>
        </xdr:txBody>
      </xdr:sp>
    </xdr:grpSp>
    <xdr:clientData/>
  </xdr:twoCellAnchor>
  <xdr:twoCellAnchor>
    <xdr:from>
      <xdr:col>2</xdr:col>
      <xdr:colOff>376025</xdr:colOff>
      <xdr:row>168</xdr:row>
      <xdr:rowOff>82826</xdr:rowOff>
    </xdr:from>
    <xdr:to>
      <xdr:col>10</xdr:col>
      <xdr:colOff>289890</xdr:colOff>
      <xdr:row>172</xdr:row>
      <xdr:rowOff>132521</xdr:rowOff>
    </xdr:to>
    <xdr:sp macro="" textlink="tekst4">
      <xdr:nvSpPr>
        <xdr:cNvPr id="52" name="Rechthoek 51">
          <a:extLst>
            <a:ext uri="{FF2B5EF4-FFF2-40B4-BE49-F238E27FC236}">
              <a16:creationId xmlns:a16="http://schemas.microsoft.com/office/drawing/2014/main" id="{A5E97E86-309E-4F14-8245-A91DFD037DEA}"/>
            </a:ext>
          </a:extLst>
        </xdr:cNvPr>
        <xdr:cNvSpPr/>
      </xdr:nvSpPr>
      <xdr:spPr>
        <a:xfrm>
          <a:off x="1262264" y="25974261"/>
          <a:ext cx="5024235" cy="8116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6685796-4D9A-4B3F-9511-EEE2E4D5702E}" type="TxLink">
            <a:rPr lang="en-US" sz="1200" b="1" i="0" u="none" strike="noStrike">
              <a:solidFill>
                <a:srgbClr val="00519D"/>
              </a:solidFill>
              <a:latin typeface="Muli Light" panose="00000400000000000000" pitchFamily="2" charset="0"/>
              <a:cs typeface="Segoe UI"/>
            </a:rPr>
            <a:pPr algn="l"/>
            <a:t>Stel, op enig moment word je voor 50% arbeidsongeschikt bevonden en weet geen nieuwe baan te vinden.</a:t>
          </a:fld>
          <a:endParaRPr lang="nl-NL" sz="1200">
            <a:solidFill>
              <a:srgbClr val="00519D"/>
            </a:solidFill>
            <a:latin typeface="Muli Light" panose="00000400000000000000" pitchFamily="2" charset="0"/>
          </a:endParaRPr>
        </a:p>
      </xdr:txBody>
    </xdr:sp>
    <xdr:clientData/>
  </xdr:twoCellAnchor>
  <xdr:twoCellAnchor>
    <xdr:from>
      <xdr:col>2</xdr:col>
      <xdr:colOff>215329</xdr:colOff>
      <xdr:row>174</xdr:row>
      <xdr:rowOff>39342</xdr:rowOff>
    </xdr:from>
    <xdr:to>
      <xdr:col>10</xdr:col>
      <xdr:colOff>145341</xdr:colOff>
      <xdr:row>179</xdr:row>
      <xdr:rowOff>125067</xdr:rowOff>
    </xdr:to>
    <xdr:sp macro="" textlink="Grafiekblad!B6">
      <xdr:nvSpPr>
        <xdr:cNvPr id="53" name="Rechthoek 52">
          <a:extLst>
            <a:ext uri="{FF2B5EF4-FFF2-40B4-BE49-F238E27FC236}">
              <a16:creationId xmlns:a16="http://schemas.microsoft.com/office/drawing/2014/main" id="{B2E7A397-0A79-08FA-34C7-81536DEBBB39}"/>
            </a:ext>
          </a:extLst>
        </xdr:cNvPr>
        <xdr:cNvSpPr/>
      </xdr:nvSpPr>
      <xdr:spPr>
        <a:xfrm>
          <a:off x="1101568" y="28051125"/>
          <a:ext cx="5040382" cy="9139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A25A6788-4ACE-44F2-B348-2B7BA2386B7C}" type="TxLink">
            <a:rPr lang="en-US" sz="1200" b="0" i="0" u="none" strike="noStrike">
              <a:solidFill>
                <a:schemeClr val="tx1">
                  <a:lumMod val="75000"/>
                  <a:lumOff val="25000"/>
                </a:schemeClr>
              </a:solidFill>
              <a:latin typeface="Muli Light" panose="00000400000000000000" pitchFamily="2" charset="0"/>
              <a:cs typeface="Segoe UI"/>
            </a:rPr>
            <a:pPr algn="l"/>
            <a:t>De aanvullende verzekeringen van Renewi vullen je inkomen aan tot 70% van je oude loon. Zonder deze verzekering kom je uit op 25% van je oude loon</a:t>
          </a:fld>
          <a:endParaRPr lang="nl-NL" sz="1200" b="0">
            <a:solidFill>
              <a:schemeClr val="tx1">
                <a:lumMod val="75000"/>
                <a:lumOff val="25000"/>
              </a:schemeClr>
            </a:solidFill>
            <a:latin typeface="Muli Light" panose="00000400000000000000" pitchFamily="2" charset="0"/>
          </a:endParaRPr>
        </a:p>
      </xdr:txBody>
    </xdr:sp>
    <xdr:clientData/>
  </xdr:twoCellAnchor>
  <xdr:twoCellAnchor>
    <xdr:from>
      <xdr:col>3</xdr:col>
      <xdr:colOff>9525</xdr:colOff>
      <xdr:row>206</xdr:row>
      <xdr:rowOff>114300</xdr:rowOff>
    </xdr:from>
    <xdr:to>
      <xdr:col>3</xdr:col>
      <xdr:colOff>228600</xdr:colOff>
      <xdr:row>207</xdr:row>
      <xdr:rowOff>133350</xdr:rowOff>
    </xdr:to>
    <xdr:sp macro="" textlink="">
      <xdr:nvSpPr>
        <xdr:cNvPr id="97" name="Rechthoek 96">
          <a:extLst>
            <a:ext uri="{FF2B5EF4-FFF2-40B4-BE49-F238E27FC236}">
              <a16:creationId xmlns:a16="http://schemas.microsoft.com/office/drawing/2014/main" id="{0A476CED-1A98-4007-A6AD-43188B3D5D9B}"/>
            </a:ext>
          </a:extLst>
        </xdr:cNvPr>
        <xdr:cNvSpPr/>
      </xdr:nvSpPr>
      <xdr:spPr>
        <a:xfrm>
          <a:off x="1504950" y="26393775"/>
          <a:ext cx="219075" cy="180975"/>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206</xdr:row>
      <xdr:rowOff>114300</xdr:rowOff>
    </xdr:from>
    <xdr:to>
      <xdr:col>6</xdr:col>
      <xdr:colOff>226267</xdr:colOff>
      <xdr:row>207</xdr:row>
      <xdr:rowOff>133350</xdr:rowOff>
    </xdr:to>
    <xdr:sp macro="" textlink="Grafiekblad!L8">
      <xdr:nvSpPr>
        <xdr:cNvPr id="98" name="Rechthoek 97">
          <a:extLst>
            <a:ext uri="{FF2B5EF4-FFF2-40B4-BE49-F238E27FC236}">
              <a16:creationId xmlns:a16="http://schemas.microsoft.com/office/drawing/2014/main" id="{8ABEA510-F961-4B78-8A38-92405DEBB5FC}"/>
            </a:ext>
          </a:extLst>
        </xdr:cNvPr>
        <xdr:cNvSpPr/>
      </xdr:nvSpPr>
      <xdr:spPr>
        <a:xfrm>
          <a:off x="1754933" y="2639377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18B02F5-31DB-4704-A44F-6D79E26A6350}"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208</xdr:row>
      <xdr:rowOff>0</xdr:rowOff>
    </xdr:from>
    <xdr:to>
      <xdr:col>3</xdr:col>
      <xdr:colOff>228600</xdr:colOff>
      <xdr:row>209</xdr:row>
      <xdr:rowOff>19050</xdr:rowOff>
    </xdr:to>
    <xdr:sp macro="" textlink="">
      <xdr:nvSpPr>
        <xdr:cNvPr id="101" name="Rechthoek 100">
          <a:extLst>
            <a:ext uri="{FF2B5EF4-FFF2-40B4-BE49-F238E27FC236}">
              <a16:creationId xmlns:a16="http://schemas.microsoft.com/office/drawing/2014/main" id="{91EEF147-ABAE-4B30-BF98-D2D5ADD3C071}"/>
            </a:ext>
          </a:extLst>
        </xdr:cNvPr>
        <xdr:cNvSpPr/>
      </xdr:nvSpPr>
      <xdr:spPr>
        <a:xfrm>
          <a:off x="1504950" y="27070050"/>
          <a:ext cx="219075" cy="180975"/>
        </a:xfrm>
        <a:prstGeom prst="rect">
          <a:avLst/>
        </a:prstGeom>
        <a:pattFill prst="pct20">
          <a:fgClr>
            <a:schemeClr val="bg1">
              <a:lumMod val="50000"/>
            </a:schemeClr>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208</xdr:row>
      <xdr:rowOff>0</xdr:rowOff>
    </xdr:from>
    <xdr:to>
      <xdr:col>6</xdr:col>
      <xdr:colOff>226267</xdr:colOff>
      <xdr:row>209</xdr:row>
      <xdr:rowOff>19050</xdr:rowOff>
    </xdr:to>
    <xdr:sp macro="" textlink="Grafiekblad!M8">
      <xdr:nvSpPr>
        <xdr:cNvPr id="102" name="Rechthoek 101">
          <a:extLst>
            <a:ext uri="{FF2B5EF4-FFF2-40B4-BE49-F238E27FC236}">
              <a16:creationId xmlns:a16="http://schemas.microsoft.com/office/drawing/2014/main" id="{6CC811B6-EB84-4FD6-A1AD-6088DDBDA403}"/>
            </a:ext>
          </a:extLst>
        </xdr:cNvPr>
        <xdr:cNvSpPr/>
      </xdr:nvSpPr>
      <xdr:spPr>
        <a:xfrm>
          <a:off x="1821608" y="17745075"/>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36E38F3-7CD8-42A7-8C6E-E0D9FD7758FC}"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206</xdr:row>
      <xdr:rowOff>114300</xdr:rowOff>
    </xdr:from>
    <xdr:to>
      <xdr:col>7</xdr:col>
      <xdr:colOff>304800</xdr:colOff>
      <xdr:row>207</xdr:row>
      <xdr:rowOff>133350</xdr:rowOff>
    </xdr:to>
    <xdr:sp macro="" textlink="">
      <xdr:nvSpPr>
        <xdr:cNvPr id="103" name="Rechthoek 102">
          <a:extLst>
            <a:ext uri="{FF2B5EF4-FFF2-40B4-BE49-F238E27FC236}">
              <a16:creationId xmlns:a16="http://schemas.microsoft.com/office/drawing/2014/main" id="{342CB328-CC75-400A-8F3A-EF7C1CDB59F9}"/>
            </a:ext>
          </a:extLst>
        </xdr:cNvPr>
        <xdr:cNvSpPr/>
      </xdr:nvSpPr>
      <xdr:spPr>
        <a:xfrm>
          <a:off x="4019550" y="26393775"/>
          <a:ext cx="219075" cy="180975"/>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206</xdr:row>
      <xdr:rowOff>114301</xdr:rowOff>
    </xdr:from>
    <xdr:to>
      <xdr:col>11</xdr:col>
      <xdr:colOff>0</xdr:colOff>
      <xdr:row>207</xdr:row>
      <xdr:rowOff>123826</xdr:rowOff>
    </xdr:to>
    <xdr:sp macro="" textlink="Grafiekblad!P8">
      <xdr:nvSpPr>
        <xdr:cNvPr id="104" name="Rechthoek 103">
          <a:extLst>
            <a:ext uri="{FF2B5EF4-FFF2-40B4-BE49-F238E27FC236}">
              <a16:creationId xmlns:a16="http://schemas.microsoft.com/office/drawing/2014/main" id="{EAEC2E57-CE5B-4A45-9D2A-9B72CB34244C}"/>
            </a:ext>
          </a:extLst>
        </xdr:cNvPr>
        <xdr:cNvSpPr/>
      </xdr:nvSpPr>
      <xdr:spPr>
        <a:xfrm>
          <a:off x="4269533" y="35556826"/>
          <a:ext cx="2312242"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65099449-89B2-4649-B07F-8E5D9498D85E}"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207</xdr:row>
      <xdr:rowOff>152400</xdr:rowOff>
    </xdr:from>
    <xdr:to>
      <xdr:col>7</xdr:col>
      <xdr:colOff>304800</xdr:colOff>
      <xdr:row>209</xdr:row>
      <xdr:rowOff>9525</xdr:rowOff>
    </xdr:to>
    <xdr:sp macro="" textlink="">
      <xdr:nvSpPr>
        <xdr:cNvPr id="105" name="Rechthoek 104">
          <a:extLst>
            <a:ext uri="{FF2B5EF4-FFF2-40B4-BE49-F238E27FC236}">
              <a16:creationId xmlns:a16="http://schemas.microsoft.com/office/drawing/2014/main" id="{5C7FCF6C-CC02-4602-BB0F-3900A818D07A}"/>
            </a:ext>
          </a:extLst>
        </xdr:cNvPr>
        <xdr:cNvSpPr/>
      </xdr:nvSpPr>
      <xdr:spPr>
        <a:xfrm>
          <a:off x="4019550" y="26593800"/>
          <a:ext cx="219075" cy="180975"/>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207</xdr:row>
      <xdr:rowOff>152400</xdr:rowOff>
    </xdr:from>
    <xdr:to>
      <xdr:col>10</xdr:col>
      <xdr:colOff>92917</xdr:colOff>
      <xdr:row>209</xdr:row>
      <xdr:rowOff>9525</xdr:rowOff>
    </xdr:to>
    <xdr:sp macro="" textlink="Grafiekblad!Q8">
      <xdr:nvSpPr>
        <xdr:cNvPr id="106" name="Rechthoek 105">
          <a:extLst>
            <a:ext uri="{FF2B5EF4-FFF2-40B4-BE49-F238E27FC236}">
              <a16:creationId xmlns:a16="http://schemas.microsoft.com/office/drawing/2014/main" id="{90FDA4E5-4A59-47B4-9361-70AB5A6C5E1F}"/>
            </a:ext>
          </a:extLst>
        </xdr:cNvPr>
        <xdr:cNvSpPr/>
      </xdr:nvSpPr>
      <xdr:spPr>
        <a:xfrm>
          <a:off x="42695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295555F6-939E-44F3-8259-13775C4DD40C}"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206</xdr:row>
      <xdr:rowOff>114300</xdr:rowOff>
    </xdr:from>
    <xdr:to>
      <xdr:col>12</xdr:col>
      <xdr:colOff>228600</xdr:colOff>
      <xdr:row>207</xdr:row>
      <xdr:rowOff>133350</xdr:rowOff>
    </xdr:to>
    <xdr:sp macro="" textlink="">
      <xdr:nvSpPr>
        <xdr:cNvPr id="107" name="Rechthoek 106">
          <a:extLst>
            <a:ext uri="{FF2B5EF4-FFF2-40B4-BE49-F238E27FC236}">
              <a16:creationId xmlns:a16="http://schemas.microsoft.com/office/drawing/2014/main" id="{997EAD6C-776B-4C85-BD84-549D164FA3F0}"/>
            </a:ext>
          </a:extLst>
        </xdr:cNvPr>
        <xdr:cNvSpPr/>
      </xdr:nvSpPr>
      <xdr:spPr>
        <a:xfrm>
          <a:off x="1504950" y="26393775"/>
          <a:ext cx="219075" cy="180975"/>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206</xdr:row>
      <xdr:rowOff>114300</xdr:rowOff>
    </xdr:from>
    <xdr:to>
      <xdr:col>15</xdr:col>
      <xdr:colOff>226267</xdr:colOff>
      <xdr:row>207</xdr:row>
      <xdr:rowOff>133350</xdr:rowOff>
    </xdr:to>
    <xdr:sp macro="" textlink="Grafiekblad!L29">
      <xdr:nvSpPr>
        <xdr:cNvPr id="108" name="Rechthoek 107">
          <a:extLst>
            <a:ext uri="{FF2B5EF4-FFF2-40B4-BE49-F238E27FC236}">
              <a16:creationId xmlns:a16="http://schemas.microsoft.com/office/drawing/2014/main" id="{0A5FFD32-EF9D-4D67-84DF-79566887295A}"/>
            </a:ext>
          </a:extLst>
        </xdr:cNvPr>
        <xdr:cNvSpPr/>
      </xdr:nvSpPr>
      <xdr:spPr>
        <a:xfrm>
          <a:off x="1754933" y="2639377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7C0A8204-84FD-440E-B83F-4A01F5A148AA}"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207</xdr:row>
      <xdr:rowOff>152400</xdr:rowOff>
    </xdr:from>
    <xdr:to>
      <xdr:col>12</xdr:col>
      <xdr:colOff>228600</xdr:colOff>
      <xdr:row>209</xdr:row>
      <xdr:rowOff>9525</xdr:rowOff>
    </xdr:to>
    <xdr:sp macro="" textlink="">
      <xdr:nvSpPr>
        <xdr:cNvPr id="109" name="Rechthoek 108">
          <a:extLst>
            <a:ext uri="{FF2B5EF4-FFF2-40B4-BE49-F238E27FC236}">
              <a16:creationId xmlns:a16="http://schemas.microsoft.com/office/drawing/2014/main" id="{4FD8FCD8-4F33-4E46-881E-D76A168B1807}"/>
            </a:ext>
          </a:extLst>
        </xdr:cNvPr>
        <xdr:cNvSpPr/>
      </xdr:nvSpPr>
      <xdr:spPr>
        <a:xfrm>
          <a:off x="1504950" y="26593800"/>
          <a:ext cx="219075" cy="180975"/>
        </a:xfrm>
        <a:prstGeom prst="rect">
          <a:avLst/>
        </a:prstGeom>
        <a:pattFill prst="pct20">
          <a:fgClr>
            <a:srgbClr val="595959"/>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207</xdr:row>
      <xdr:rowOff>152400</xdr:rowOff>
    </xdr:from>
    <xdr:to>
      <xdr:col>15</xdr:col>
      <xdr:colOff>226267</xdr:colOff>
      <xdr:row>209</xdr:row>
      <xdr:rowOff>9525</xdr:rowOff>
    </xdr:to>
    <xdr:sp macro="" textlink="Grafiekblad!M29">
      <xdr:nvSpPr>
        <xdr:cNvPr id="110" name="Rechthoek 109">
          <a:extLst>
            <a:ext uri="{FF2B5EF4-FFF2-40B4-BE49-F238E27FC236}">
              <a16:creationId xmlns:a16="http://schemas.microsoft.com/office/drawing/2014/main" id="{5DA3F0E4-1BF2-4AC5-BF03-9C84B5DA2AA2}"/>
            </a:ext>
          </a:extLst>
        </xdr:cNvPr>
        <xdr:cNvSpPr/>
      </xdr:nvSpPr>
      <xdr:spPr>
        <a:xfrm>
          <a:off x="17549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66B62870-304A-48E6-8035-C6CB8B982EA5}"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209</xdr:row>
      <xdr:rowOff>28575</xdr:rowOff>
    </xdr:from>
    <xdr:to>
      <xdr:col>12</xdr:col>
      <xdr:colOff>228600</xdr:colOff>
      <xdr:row>210</xdr:row>
      <xdr:rowOff>47625</xdr:rowOff>
    </xdr:to>
    <xdr:sp macro="" textlink="">
      <xdr:nvSpPr>
        <xdr:cNvPr id="111" name="Rechthoek 110">
          <a:extLst>
            <a:ext uri="{FF2B5EF4-FFF2-40B4-BE49-F238E27FC236}">
              <a16:creationId xmlns:a16="http://schemas.microsoft.com/office/drawing/2014/main" id="{55054AB9-04B4-4776-8943-4A6B71825697}"/>
            </a:ext>
          </a:extLst>
        </xdr:cNvPr>
        <xdr:cNvSpPr/>
      </xdr:nvSpPr>
      <xdr:spPr>
        <a:xfrm>
          <a:off x="1504950" y="26793825"/>
          <a:ext cx="219075" cy="180975"/>
        </a:xfrm>
        <a:prstGeom prst="rect">
          <a:avLst/>
        </a:prstGeom>
        <a:solidFill>
          <a:srgbClr val="DDDDD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209</xdr:row>
      <xdr:rowOff>28575</xdr:rowOff>
    </xdr:from>
    <xdr:to>
      <xdr:col>15</xdr:col>
      <xdr:colOff>226267</xdr:colOff>
      <xdr:row>210</xdr:row>
      <xdr:rowOff>47625</xdr:rowOff>
    </xdr:to>
    <xdr:sp macro="" textlink="Grafiekblad!N29">
      <xdr:nvSpPr>
        <xdr:cNvPr id="112" name="Rechthoek 111">
          <a:extLst>
            <a:ext uri="{FF2B5EF4-FFF2-40B4-BE49-F238E27FC236}">
              <a16:creationId xmlns:a16="http://schemas.microsoft.com/office/drawing/2014/main" id="{321092D7-5763-40C8-9718-77F062C48B16}"/>
            </a:ext>
          </a:extLst>
        </xdr:cNvPr>
        <xdr:cNvSpPr/>
      </xdr:nvSpPr>
      <xdr:spPr>
        <a:xfrm>
          <a:off x="1754933" y="2679382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BA12A523-916A-4D0F-985A-960A9F88FA2C}" type="TxLink">
            <a:rPr lang="en-US" sz="1000" b="0" i="0" u="none" strike="noStrike">
              <a:solidFill>
                <a:sysClr val="windowText" lastClr="000000"/>
              </a:solidFill>
              <a:latin typeface="Muli Light" panose="00000400000000000000" pitchFamily="2" charset="0"/>
              <a:cs typeface="Arial"/>
            </a:rPr>
            <a:pPr algn="l"/>
            <a:t>Nieuw loon</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206</xdr:row>
      <xdr:rowOff>114300</xdr:rowOff>
    </xdr:from>
    <xdr:to>
      <xdr:col>16</xdr:col>
      <xdr:colOff>304800</xdr:colOff>
      <xdr:row>207</xdr:row>
      <xdr:rowOff>133350</xdr:rowOff>
    </xdr:to>
    <xdr:sp macro="" textlink="">
      <xdr:nvSpPr>
        <xdr:cNvPr id="113" name="Rechthoek 112">
          <a:extLst>
            <a:ext uri="{FF2B5EF4-FFF2-40B4-BE49-F238E27FC236}">
              <a16:creationId xmlns:a16="http://schemas.microsoft.com/office/drawing/2014/main" id="{C2F4612C-21BC-491E-8A73-4BFAEC0B5260}"/>
            </a:ext>
          </a:extLst>
        </xdr:cNvPr>
        <xdr:cNvSpPr/>
      </xdr:nvSpPr>
      <xdr:spPr>
        <a:xfrm>
          <a:off x="4019550" y="26393775"/>
          <a:ext cx="219075" cy="180975"/>
        </a:xfrm>
        <a:prstGeom prst="rect">
          <a:avLst/>
        </a:prstGeom>
        <a:solidFill>
          <a:srgbClr val="7F7F7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206</xdr:row>
      <xdr:rowOff>104775</xdr:rowOff>
    </xdr:from>
    <xdr:to>
      <xdr:col>19</xdr:col>
      <xdr:colOff>809625</xdr:colOff>
      <xdr:row>207</xdr:row>
      <xdr:rowOff>152400</xdr:rowOff>
    </xdr:to>
    <xdr:sp macro="" textlink="Grafiekblad!O29">
      <xdr:nvSpPr>
        <xdr:cNvPr id="114" name="Rechthoek 113">
          <a:extLst>
            <a:ext uri="{FF2B5EF4-FFF2-40B4-BE49-F238E27FC236}">
              <a16:creationId xmlns:a16="http://schemas.microsoft.com/office/drawing/2014/main" id="{8EFB8FC5-6310-4CD3-B83C-F9792773FCE9}"/>
            </a:ext>
          </a:extLst>
        </xdr:cNvPr>
        <xdr:cNvSpPr/>
      </xdr:nvSpPr>
      <xdr:spPr>
        <a:xfrm>
          <a:off x="9965483" y="35547300"/>
          <a:ext cx="2302717" cy="2095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01839130-8941-4FDE-9234-30F3A6624108}"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207</xdr:row>
      <xdr:rowOff>152400</xdr:rowOff>
    </xdr:from>
    <xdr:to>
      <xdr:col>16</xdr:col>
      <xdr:colOff>304800</xdr:colOff>
      <xdr:row>209</xdr:row>
      <xdr:rowOff>9525</xdr:rowOff>
    </xdr:to>
    <xdr:sp macro="" textlink="">
      <xdr:nvSpPr>
        <xdr:cNvPr id="115" name="Rechthoek 114">
          <a:extLst>
            <a:ext uri="{FF2B5EF4-FFF2-40B4-BE49-F238E27FC236}">
              <a16:creationId xmlns:a16="http://schemas.microsoft.com/office/drawing/2014/main" id="{15A46491-D1BE-4EF7-970D-C749B088452B}"/>
            </a:ext>
          </a:extLst>
        </xdr:cNvPr>
        <xdr:cNvSpPr/>
      </xdr:nvSpPr>
      <xdr:spPr>
        <a:xfrm>
          <a:off x="4019550" y="26593800"/>
          <a:ext cx="219075" cy="180975"/>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207</xdr:row>
      <xdr:rowOff>152400</xdr:rowOff>
    </xdr:from>
    <xdr:to>
      <xdr:col>19</xdr:col>
      <xdr:colOff>92917</xdr:colOff>
      <xdr:row>209</xdr:row>
      <xdr:rowOff>9525</xdr:rowOff>
    </xdr:to>
    <xdr:sp macro="" textlink="Grafiekblad!P29">
      <xdr:nvSpPr>
        <xdr:cNvPr id="116" name="Rechthoek 115">
          <a:extLst>
            <a:ext uri="{FF2B5EF4-FFF2-40B4-BE49-F238E27FC236}">
              <a16:creationId xmlns:a16="http://schemas.microsoft.com/office/drawing/2014/main" id="{5CB45DB4-8D1D-4C17-9DC0-A03DF1A88328}"/>
            </a:ext>
          </a:extLst>
        </xdr:cNvPr>
        <xdr:cNvSpPr/>
      </xdr:nvSpPr>
      <xdr:spPr>
        <a:xfrm>
          <a:off x="4269533" y="26593800"/>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45DA07C-89B8-4FFD-841E-BC330CF7791A}"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2</xdr:col>
      <xdr:colOff>374788</xdr:colOff>
      <xdr:row>27</xdr:row>
      <xdr:rowOff>68332</xdr:rowOff>
    </xdr:from>
    <xdr:to>
      <xdr:col>19</xdr:col>
      <xdr:colOff>165238</xdr:colOff>
      <xdr:row>31</xdr:row>
      <xdr:rowOff>53423</xdr:rowOff>
    </xdr:to>
    <xdr:sp macro="" textlink="">
      <xdr:nvSpPr>
        <xdr:cNvPr id="201" name="Rechthoek 200">
          <a:extLst>
            <a:ext uri="{FF2B5EF4-FFF2-40B4-BE49-F238E27FC236}">
              <a16:creationId xmlns:a16="http://schemas.microsoft.com/office/drawing/2014/main" id="{6F5B7524-9C3F-4925-9128-A0D8F549AA02}"/>
            </a:ext>
          </a:extLst>
        </xdr:cNvPr>
        <xdr:cNvSpPr/>
      </xdr:nvSpPr>
      <xdr:spPr>
        <a:xfrm>
          <a:off x="1261027" y="4540941"/>
          <a:ext cx="10417037" cy="5483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200" b="0" i="0" u="none" strike="noStrike">
              <a:solidFill>
                <a:srgbClr val="4FB4E7"/>
              </a:solidFill>
              <a:latin typeface="Muli Black" panose="00000A00000000000000" pitchFamily="2" charset="0"/>
              <a:cs typeface="Segoe UI"/>
            </a:rPr>
            <a:t>Met dit overzicht willen we je een indicatie geven van de gevolgen van arbeidsongeschiktheid op je inkomen. Alhoewel dit overzicht met de uiterste zorg </a:t>
          </a:r>
          <a:r>
            <a:rPr lang="en-US" sz="1200" b="0" i="0" u="none" strike="noStrike" baseline="0">
              <a:solidFill>
                <a:srgbClr val="4FB4E7"/>
              </a:solidFill>
              <a:latin typeface="Muli Black" panose="00000A00000000000000" pitchFamily="2" charset="0"/>
              <a:cs typeface="Segoe UI"/>
            </a:rPr>
            <a:t>is samengesteld, kunnen hier geen rechten aan worden ontleend.</a:t>
          </a:r>
          <a:endParaRPr lang="en-US" sz="1200" b="0" i="0" u="none" strike="noStrike">
            <a:solidFill>
              <a:srgbClr val="4FB4E7"/>
            </a:solidFill>
            <a:latin typeface="Muli Black" panose="00000A00000000000000" pitchFamily="2" charset="0"/>
            <a:cs typeface="Segoe UI"/>
          </a:endParaRPr>
        </a:p>
      </xdr:txBody>
    </xdr:sp>
    <xdr:clientData/>
  </xdr:twoCellAnchor>
  <xdr:twoCellAnchor>
    <xdr:from>
      <xdr:col>0</xdr:col>
      <xdr:colOff>231913</xdr:colOff>
      <xdr:row>60</xdr:row>
      <xdr:rowOff>41440</xdr:rowOff>
    </xdr:from>
    <xdr:to>
      <xdr:col>9</xdr:col>
      <xdr:colOff>538369</xdr:colOff>
      <xdr:row>103</xdr:row>
      <xdr:rowOff>124267</xdr:rowOff>
    </xdr:to>
    <xdr:sp macro="" textlink="">
      <xdr:nvSpPr>
        <xdr:cNvPr id="208" name="Rechthoek 207">
          <a:extLst>
            <a:ext uri="{FF2B5EF4-FFF2-40B4-BE49-F238E27FC236}">
              <a16:creationId xmlns:a16="http://schemas.microsoft.com/office/drawing/2014/main" id="{B99B93DC-2A20-616C-65FC-ED603D901D51}"/>
            </a:ext>
          </a:extLst>
        </xdr:cNvPr>
        <xdr:cNvSpPr/>
      </xdr:nvSpPr>
      <xdr:spPr>
        <a:xfrm>
          <a:off x="231913" y="10046831"/>
          <a:ext cx="5690152" cy="71064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nl-NL" sz="1200">
              <a:solidFill>
                <a:schemeClr val="lt1"/>
              </a:solidFill>
              <a:effectLst/>
              <a:latin typeface="Muli Light" panose="00000400000000000000" pitchFamily="2" charset="0"/>
              <a:ea typeface="+mn-ea"/>
              <a:cs typeface="+mn-cs"/>
            </a:rPr>
            <a:t>Als je door arbeidsongeschiktheid niet of minder kunt werken, kan dit gevolgen hebben voor jouw inkomen. De overheid heeft verschillende regelingen om jouw inkomen aan te vullen. Renewi biedt een aanvulling op deze regelingen. </a:t>
          </a:r>
        </a:p>
        <a:p>
          <a:r>
            <a:rPr lang="nl-NL" sz="1200">
              <a:solidFill>
                <a:schemeClr val="lt1"/>
              </a:solidFill>
              <a:effectLst/>
              <a:latin typeface="Muli Light" panose="00000400000000000000" pitchFamily="2" charset="0"/>
              <a:ea typeface="+mn-ea"/>
              <a:cs typeface="+mn-cs"/>
            </a:rPr>
            <a:t>Graag geven wij je uitleg over deze regelingen. Daarnaast geven wij je aan de hand van enkele voorbeeldberekeningen inzicht in wat het voor jou betekent, mocht je arbeidsongeschikt raken.</a:t>
          </a:r>
        </a:p>
        <a:p>
          <a:endParaRPr lang="nl-NL" sz="1200">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Wat is er in de wet geregeld?</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De wet stelt dat je twee jaar (104 weken) recht hebt op 70% van het overeengekomen salaris. Onafhankelijk van de hoogte van jouw salaris ontvang je het eerste jaar (52 weken) altijd minimaal het minimumloon. De werkgever is niet verplicht om meer dan het maximum dagloon (voor 2024 op jaarbasis € 71.628) te betalen.</a:t>
          </a:r>
        </a:p>
        <a:p>
          <a:endParaRPr lang="nl-NL" sz="1200" b="1">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Wat is er bij Renewi geregeld?</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Bij Renewi krijg je meer loon tijdens deze periode. Gedurende de eerste 2 jaar van ziekte is de loondoorbetaling: </a:t>
          </a:r>
        </a:p>
        <a:p>
          <a:r>
            <a:rPr lang="nl-NL" sz="1200">
              <a:solidFill>
                <a:schemeClr val="lt1"/>
              </a:solidFill>
              <a:effectLst/>
              <a:latin typeface="Muli Light" panose="00000400000000000000" pitchFamily="2" charset="0"/>
              <a:ea typeface="+mn-ea"/>
              <a:cs typeface="+mn-cs"/>
            </a:rPr>
            <a:t>-  1</a:t>
          </a:r>
          <a:r>
            <a:rPr lang="nl-NL" sz="1200" baseline="30000">
              <a:solidFill>
                <a:schemeClr val="lt1"/>
              </a:solidFill>
              <a:effectLst/>
              <a:latin typeface="Muli Light" panose="00000400000000000000" pitchFamily="2" charset="0"/>
              <a:ea typeface="+mn-ea"/>
              <a:cs typeface="+mn-cs"/>
            </a:rPr>
            <a:t>e</a:t>
          </a:r>
          <a:r>
            <a:rPr lang="nl-NL" sz="1200">
              <a:solidFill>
                <a:schemeClr val="lt1"/>
              </a:solidFill>
              <a:effectLst/>
              <a:latin typeface="Muli Light" panose="00000400000000000000" pitchFamily="2" charset="0"/>
              <a:ea typeface="+mn-ea"/>
              <a:cs typeface="+mn-cs"/>
            </a:rPr>
            <a:t> jaar: 100%</a:t>
          </a:r>
        </a:p>
        <a:p>
          <a:r>
            <a:rPr lang="nl-NL" sz="1200">
              <a:solidFill>
                <a:schemeClr val="lt1"/>
              </a:solidFill>
              <a:effectLst/>
              <a:latin typeface="Muli Light" panose="00000400000000000000" pitchFamily="2" charset="0"/>
              <a:ea typeface="+mn-ea"/>
              <a:cs typeface="+mn-cs"/>
            </a:rPr>
            <a:t>-  2</a:t>
          </a:r>
          <a:r>
            <a:rPr lang="nl-NL" sz="1200" baseline="30000">
              <a:solidFill>
                <a:schemeClr val="lt1"/>
              </a:solidFill>
              <a:effectLst/>
              <a:latin typeface="Muli Light" panose="00000400000000000000" pitchFamily="2" charset="0"/>
              <a:ea typeface="+mn-ea"/>
              <a:cs typeface="+mn-cs"/>
            </a:rPr>
            <a:t>e</a:t>
          </a:r>
          <a:r>
            <a:rPr lang="nl-NL" sz="1200">
              <a:solidFill>
                <a:schemeClr val="lt1"/>
              </a:solidFill>
              <a:effectLst/>
              <a:latin typeface="Muli Light" panose="00000400000000000000" pitchFamily="2" charset="0"/>
              <a:ea typeface="+mn-ea"/>
              <a:cs typeface="+mn-cs"/>
            </a:rPr>
            <a:t> jaar: 70%</a:t>
          </a:r>
        </a:p>
        <a:p>
          <a:endParaRPr lang="nl-NL" sz="1200" b="1">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Jouw inkomen als je na 2 jaar nog niet (geheel) hersteld bent</a:t>
          </a:r>
          <a:endParaRPr lang="nl-NL" sz="1200">
            <a:solidFill>
              <a:schemeClr val="lt1"/>
            </a:solidFill>
            <a:effectLst/>
            <a:latin typeface="Muli Light" panose="00000400000000000000" pitchFamily="2" charset="0"/>
            <a:ea typeface="+mn-ea"/>
            <a:cs typeface="+mn-cs"/>
          </a:endParaRPr>
        </a:p>
        <a:p>
          <a:r>
            <a:rPr lang="nl-NL" sz="1200">
              <a:solidFill>
                <a:schemeClr val="lt1"/>
              </a:solidFill>
              <a:effectLst/>
              <a:latin typeface="Muli Light" panose="00000400000000000000" pitchFamily="2" charset="0"/>
              <a:ea typeface="+mn-ea"/>
              <a:cs typeface="+mn-cs"/>
            </a:rPr>
            <a:t>Na afloop van de loondoorbetaling (of Ziektewetuitkering via UWV), heb je mogelijk recht op een WIA-uitkering. Het arbeidsongeschiktheidspercentage, dat door UWV wordt vastgesteld, bepaalt of je recht hebt op een uitkering.</a:t>
          </a:r>
        </a:p>
        <a:p>
          <a:endParaRPr lang="nl-NL" sz="1200">
            <a:solidFill>
              <a:schemeClr val="lt1"/>
            </a:solidFill>
            <a:effectLst/>
            <a:latin typeface="Muli Light" panose="00000400000000000000" pitchFamily="2" charset="0"/>
            <a:ea typeface="+mn-ea"/>
            <a:cs typeface="+mn-cs"/>
          </a:endParaRPr>
        </a:p>
        <a:p>
          <a:r>
            <a:rPr lang="nl-NL" sz="1200" b="1">
              <a:solidFill>
                <a:schemeClr val="lt1"/>
              </a:solidFill>
              <a:effectLst/>
              <a:latin typeface="Muli Light" panose="00000400000000000000" pitchFamily="2" charset="0"/>
              <a:ea typeface="+mn-ea"/>
              <a:cs typeface="+mn-cs"/>
            </a:rPr>
            <a:t>Hoe wordt jouw arbeidsongeschiktheidspercentage vastgesteld?</a:t>
          </a:r>
          <a:endParaRPr lang="nl-NL" sz="1200">
            <a:effectLst/>
            <a:latin typeface="Muli Light" panose="00000400000000000000" pitchFamily="2" charset="0"/>
          </a:endParaRPr>
        </a:p>
        <a:p>
          <a:r>
            <a:rPr lang="nl-NL" sz="1200">
              <a:solidFill>
                <a:schemeClr val="lt1"/>
              </a:solidFill>
              <a:effectLst/>
              <a:latin typeface="Muli Light" panose="00000400000000000000" pitchFamily="2" charset="0"/>
              <a:ea typeface="+mn-ea"/>
              <a:cs typeface="+mn-cs"/>
            </a:rPr>
            <a:t>Als je arbeidsongeschikt wordt, kun je soms nog wel voor een deel werken. Om je arbeidsongeschiktheidspercentage te berekenen, gebruikt het UWV een formule. Die formule is gebaseerd op wat je zou verdienen als je niet ziek was. En wat je nog kunt verdienen nu je (gedeeltelijk) ziek bent. </a:t>
          </a:r>
          <a:endParaRPr lang="nl-NL" sz="1200">
            <a:effectLst/>
            <a:latin typeface="Muli Light" panose="00000400000000000000" pitchFamily="2" charset="0"/>
          </a:endParaRPr>
        </a:p>
        <a:p>
          <a:r>
            <a:rPr lang="nl-NL" sz="1200">
              <a:solidFill>
                <a:schemeClr val="lt1"/>
              </a:solidFill>
              <a:effectLst/>
              <a:latin typeface="Muli Light" panose="00000400000000000000" pitchFamily="2" charset="0"/>
              <a:ea typeface="+mn-ea"/>
              <a:cs typeface="+mn-cs"/>
            </a:rPr>
            <a:t>De UWV verzekeringsarts bekijkt wat je wel en niet meer kan. Het verschil tussen jouw oude loon en wat je volgens UWV nog kunt verdienen is je arbeidsongeschiktheidspercentage.</a:t>
          </a:r>
          <a:endParaRPr lang="nl-NL" sz="1200">
            <a:latin typeface="Muli Light" panose="00000400000000000000" pitchFamily="2" charset="0"/>
          </a:endParaRPr>
        </a:p>
      </xdr:txBody>
    </xdr:sp>
    <xdr:clientData/>
  </xdr:twoCellAnchor>
  <xdr:twoCellAnchor>
    <xdr:from>
      <xdr:col>10</xdr:col>
      <xdr:colOff>2721</xdr:colOff>
      <xdr:row>60</xdr:row>
      <xdr:rowOff>41442</xdr:rowOff>
    </xdr:from>
    <xdr:to>
      <xdr:col>20</xdr:col>
      <xdr:colOff>76200</xdr:colOff>
      <xdr:row>103</xdr:row>
      <xdr:rowOff>99420</xdr:rowOff>
    </xdr:to>
    <xdr:sp macro="" textlink="">
      <xdr:nvSpPr>
        <xdr:cNvPr id="209" name="Rechthoek 208">
          <a:extLst>
            <a:ext uri="{FF2B5EF4-FFF2-40B4-BE49-F238E27FC236}">
              <a16:creationId xmlns:a16="http://schemas.microsoft.com/office/drawing/2014/main" id="{377904BB-39F9-456D-83ED-674C6F6F43BC}"/>
            </a:ext>
          </a:extLst>
        </xdr:cNvPr>
        <xdr:cNvSpPr/>
      </xdr:nvSpPr>
      <xdr:spPr>
        <a:xfrm>
          <a:off x="5974896" y="10071267"/>
          <a:ext cx="6502854" cy="69255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1"/>
          <a:r>
            <a:rPr lang="nl-NL" sz="1200" b="1">
              <a:solidFill>
                <a:schemeClr val="lt1"/>
              </a:solidFill>
              <a:effectLst/>
              <a:latin typeface="Muli Light" panose="00000400000000000000" pitchFamily="2" charset="0"/>
              <a:ea typeface="+mn-ea"/>
              <a:cs typeface="+mn-cs"/>
            </a:rPr>
            <a:t>En welke uitkering ontvang ik vanuit de WIA?</a:t>
          </a:r>
        </a:p>
        <a:p>
          <a:pPr lvl="1"/>
          <a:r>
            <a:rPr lang="nl-NL" sz="1200">
              <a:solidFill>
                <a:schemeClr val="lt1"/>
              </a:solidFill>
              <a:effectLst/>
              <a:latin typeface="Muli Light" panose="00000400000000000000" pitchFamily="2" charset="0"/>
              <a:ea typeface="+mn-ea"/>
              <a:cs typeface="+mn-cs"/>
            </a:rPr>
            <a:t>Afhankelijk van je arbeidsongeschiktheidspercentage en het eventuele loon dat je naast je uitkering nog weet te verdienen, zijn er de volgende scenario’s. </a:t>
          </a: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endParaRPr lang="nl-NL" sz="1200">
            <a:solidFill>
              <a:schemeClr val="lt1"/>
            </a:solidFill>
            <a:effectLst/>
            <a:latin typeface="Muli Light" panose="00000400000000000000" pitchFamily="2" charset="0"/>
            <a:ea typeface="+mn-ea"/>
            <a:cs typeface="+mn-cs"/>
          </a:endParaRPr>
        </a:p>
        <a:p>
          <a:pPr lvl="1"/>
          <a:r>
            <a:rPr lang="nl-NL" sz="1200" b="1">
              <a:solidFill>
                <a:schemeClr val="lt1"/>
              </a:solidFill>
              <a:effectLst/>
              <a:latin typeface="Muli Light" panose="00000400000000000000" pitchFamily="2" charset="0"/>
              <a:ea typeface="+mn-ea"/>
              <a:cs typeface="+mn-cs"/>
            </a:rPr>
            <a:t>Wat is de aanvulling vanuit Renewi?</a:t>
          </a:r>
        </a:p>
        <a:p>
          <a:pPr lvl="1"/>
          <a:r>
            <a:rPr lang="nl-NL" sz="1200">
              <a:solidFill>
                <a:schemeClr val="lt1"/>
              </a:solidFill>
              <a:effectLst/>
              <a:latin typeface="Muli Light" panose="00000400000000000000" pitchFamily="2" charset="0"/>
              <a:ea typeface="+mn-ea"/>
              <a:cs typeface="+mn-cs"/>
            </a:rPr>
            <a:t>Als je arbeidsongeschikt raakt, dan daalt het inkomen. Het is mogelijk dat je inkomen vanuit de WIA daalt tot bijstandsniveau. Om je tegen een flinke inkomensterugval te beschermen, heeft Renewi een collectieve inkomensverzekering afgesloten.</a:t>
          </a:r>
        </a:p>
        <a:p>
          <a:pPr lvl="1"/>
          <a:endParaRPr lang="nl-NL" sz="1200">
            <a:solidFill>
              <a:schemeClr val="lt1"/>
            </a:solidFill>
            <a:effectLst/>
            <a:latin typeface="Muli Light" panose="00000400000000000000" pitchFamily="2" charset="0"/>
            <a:ea typeface="+mn-ea"/>
            <a:cs typeface="+mn-cs"/>
          </a:endParaRPr>
        </a:p>
        <a:p>
          <a:pPr lvl="1"/>
          <a:r>
            <a:rPr lang="nl-NL" sz="1200">
              <a:solidFill>
                <a:schemeClr val="lt1"/>
              </a:solidFill>
              <a:effectLst/>
              <a:latin typeface="Muli Light" panose="00000400000000000000" pitchFamily="2" charset="0"/>
              <a:ea typeface="+mn-ea"/>
              <a:cs typeface="+mn-cs"/>
            </a:rPr>
            <a:t>Omdat je nu nog niet deelneemt aan deze regeling geven wij op de volgende pagina's via enkele voorbeeldberekeningen</a:t>
          </a:r>
          <a:r>
            <a:rPr lang="nl-NL" sz="1200" baseline="0">
              <a:solidFill>
                <a:schemeClr val="lt1"/>
              </a:solidFill>
              <a:effectLst/>
              <a:latin typeface="Muli Light" panose="00000400000000000000" pitchFamily="2" charset="0"/>
              <a:ea typeface="+mn-ea"/>
              <a:cs typeface="+mn-cs"/>
            </a:rPr>
            <a:t> </a:t>
          </a:r>
          <a:r>
            <a:rPr lang="nl-NL" sz="1200">
              <a:solidFill>
                <a:schemeClr val="lt1"/>
              </a:solidFill>
              <a:effectLst/>
              <a:latin typeface="Muli Light" panose="00000400000000000000" pitchFamily="2" charset="0"/>
              <a:ea typeface="+mn-ea"/>
              <a:cs typeface="+mn-cs"/>
            </a:rPr>
            <a:t>inzicht in de</a:t>
          </a:r>
          <a:r>
            <a:rPr lang="nl-NL" sz="1200" baseline="0">
              <a:solidFill>
                <a:schemeClr val="lt1"/>
              </a:solidFill>
              <a:effectLst/>
              <a:latin typeface="Muli Light" panose="00000400000000000000" pitchFamily="2" charset="0"/>
              <a:ea typeface="+mn-ea"/>
              <a:cs typeface="+mn-cs"/>
            </a:rPr>
            <a:t> dekking en de kosten voor jou als je wel deel zou nemen. </a:t>
          </a:r>
          <a:endParaRPr lang="nl-NL" sz="1200">
            <a:solidFill>
              <a:schemeClr val="lt1"/>
            </a:solidFill>
            <a:effectLst/>
            <a:latin typeface="Muli Light" panose="00000400000000000000" pitchFamily="2" charset="0"/>
            <a:ea typeface="+mn-ea"/>
            <a:cs typeface="+mn-cs"/>
          </a:endParaRPr>
        </a:p>
      </xdr:txBody>
    </xdr:sp>
    <xdr:clientData/>
  </xdr:twoCellAnchor>
  <xdr:twoCellAnchor>
    <xdr:from>
      <xdr:col>1</xdr:col>
      <xdr:colOff>41410</xdr:colOff>
      <xdr:row>56</xdr:row>
      <xdr:rowOff>16565</xdr:rowOff>
    </xdr:from>
    <xdr:to>
      <xdr:col>19</xdr:col>
      <xdr:colOff>422411</xdr:colOff>
      <xdr:row>60</xdr:row>
      <xdr:rowOff>57979</xdr:rowOff>
    </xdr:to>
    <xdr:sp macro="" textlink="">
      <xdr:nvSpPr>
        <xdr:cNvPr id="210" name="Ondertitel 12">
          <a:extLst>
            <a:ext uri="{FF2B5EF4-FFF2-40B4-BE49-F238E27FC236}">
              <a16:creationId xmlns:a16="http://schemas.microsoft.com/office/drawing/2014/main" id="{6F707928-DF8E-4863-B81C-D78D241B63C2}"/>
            </a:ext>
          </a:extLst>
        </xdr:cNvPr>
        <xdr:cNvSpPr>
          <a:spLocks noGrp="1"/>
        </xdr:cNvSpPr>
      </xdr:nvSpPr>
      <xdr:spPr>
        <a:xfrm>
          <a:off x="314736" y="9525000"/>
          <a:ext cx="11620501" cy="704022"/>
        </a:xfrm>
        <a:prstGeom prst="rect">
          <a:avLst/>
        </a:prstGeom>
      </xdr:spPr>
      <xdr:txBody>
        <a:bodyPr vert="horz" wrap="square" lIns="0" tIns="0" rIns="0" bIns="0" rtlCol="0" anchor="t">
          <a:normAutofit/>
        </a:bodyPr>
        <a:lstStyle>
          <a:lvl1pPr marL="0" indent="0" algn="l" defTabSz="914400" rtl="0" eaLnBrk="1" latinLnBrk="0" hangingPunct="1">
            <a:lnSpc>
              <a:spcPct val="110000"/>
            </a:lnSpc>
            <a:spcBef>
              <a:spcPts val="1000"/>
            </a:spcBef>
            <a:spcAft>
              <a:spcPts val="200"/>
            </a:spcAft>
            <a:buFont typeface="Arial" panose="020B0604020202020204" pitchFamily="34" charset="0"/>
            <a:buNone/>
            <a:defRPr sz="4000" kern="1200">
              <a:solidFill>
                <a:schemeClr val="bg1"/>
              </a:solidFill>
              <a:latin typeface="+mn-lt"/>
              <a:ea typeface="+mn-ea"/>
              <a:cs typeface="+mn-cs"/>
            </a:defRPr>
          </a:lvl1pPr>
          <a:lvl2pPr marL="457200" indent="0" algn="ctr" defTabSz="914400" rtl="0" eaLnBrk="1" latinLnBrk="0" hangingPunct="1">
            <a:lnSpc>
              <a:spcPct val="110000"/>
            </a:lnSpc>
            <a:spcBef>
              <a:spcPts val="500"/>
            </a:spcBef>
            <a:spcAft>
              <a:spcPts val="200"/>
            </a:spcAft>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110000"/>
            </a:lnSpc>
            <a:spcBef>
              <a:spcPts val="500"/>
            </a:spcBef>
            <a:spcAft>
              <a:spcPts val="200"/>
            </a:spcAft>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r>
            <a:rPr lang="nl-NL" sz="3600">
              <a:latin typeface="Muli ExtraLight" panose="00000300000000000000" pitchFamily="2" charset="0"/>
            </a:rPr>
            <a:t>Inkomensgevolgen bij arbeidsongeschiktheid</a:t>
          </a:r>
          <a:endParaRPr lang="nl-NL" sz="2000">
            <a:latin typeface="Muli ExtraLight" panose="00000300000000000000" pitchFamily="2" charset="0"/>
          </a:endParaRPr>
        </a:p>
      </xdr:txBody>
    </xdr:sp>
    <xdr:clientData/>
  </xdr:twoCellAnchor>
  <xdr:twoCellAnchor editAs="oneCell">
    <xdr:from>
      <xdr:col>0</xdr:col>
      <xdr:colOff>0</xdr:colOff>
      <xdr:row>0</xdr:row>
      <xdr:rowOff>0</xdr:rowOff>
    </xdr:from>
    <xdr:to>
      <xdr:col>21</xdr:col>
      <xdr:colOff>0</xdr:colOff>
      <xdr:row>16</xdr:row>
      <xdr:rowOff>95250</xdr:rowOff>
    </xdr:to>
    <xdr:pic>
      <xdr:nvPicPr>
        <xdr:cNvPr id="54" name="Afbeelding 53">
          <a:extLst>
            <a:ext uri="{FF2B5EF4-FFF2-40B4-BE49-F238E27FC236}">
              <a16:creationId xmlns:a16="http://schemas.microsoft.com/office/drawing/2014/main" id="{2205571C-8880-4904-1B04-9899DDD38E09}"/>
            </a:ext>
          </a:extLst>
        </xdr:cNvPr>
        <xdr:cNvPicPr>
          <a:picLocks noChangeAspect="1"/>
        </xdr:cNvPicPr>
      </xdr:nvPicPr>
      <xdr:blipFill>
        <a:blip xmlns:r="http://schemas.openxmlformats.org/officeDocument/2006/relationships" r:embed="rId6"/>
        <a:stretch>
          <a:fillRect/>
        </a:stretch>
      </xdr:blipFill>
      <xdr:spPr>
        <a:xfrm>
          <a:off x="0" y="0"/>
          <a:ext cx="13706475" cy="2686050"/>
        </a:xfrm>
        <a:prstGeom prst="rect">
          <a:avLst/>
        </a:prstGeom>
      </xdr:spPr>
    </xdr:pic>
    <xdr:clientData/>
  </xdr:twoCellAnchor>
  <xdr:twoCellAnchor>
    <xdr:from>
      <xdr:col>3</xdr:col>
      <xdr:colOff>428622</xdr:colOff>
      <xdr:row>14</xdr:row>
      <xdr:rowOff>57149</xdr:rowOff>
    </xdr:from>
    <xdr:to>
      <xdr:col>17</xdr:col>
      <xdr:colOff>521803</xdr:colOff>
      <xdr:row>24</xdr:row>
      <xdr:rowOff>8282</xdr:rowOff>
    </xdr:to>
    <xdr:sp macro="" textlink="">
      <xdr:nvSpPr>
        <xdr:cNvPr id="7" name="Ondertitel 12">
          <a:extLst>
            <a:ext uri="{FF2B5EF4-FFF2-40B4-BE49-F238E27FC236}">
              <a16:creationId xmlns:a16="http://schemas.microsoft.com/office/drawing/2014/main" id="{78BAF8B9-8D2B-FF25-E2EB-7C748A13F0F3}"/>
            </a:ext>
          </a:extLst>
        </xdr:cNvPr>
        <xdr:cNvSpPr>
          <a:spLocks noGrp="1"/>
        </xdr:cNvSpPr>
      </xdr:nvSpPr>
      <xdr:spPr>
        <a:xfrm>
          <a:off x="1927774" y="2376279"/>
          <a:ext cx="8881029" cy="1607655"/>
        </a:xfrm>
        <a:prstGeom prst="rect">
          <a:avLst/>
        </a:prstGeom>
        <a:solidFill>
          <a:schemeClr val="bg1"/>
        </a:solidFill>
        <a:ln>
          <a:noFill/>
        </a:ln>
        <a:effectLst>
          <a:outerShdw blurRad="63500" sx="102000" sy="102000" algn="ctr" rotWithShape="0">
            <a:prstClr val="black">
              <a:alpha val="40000"/>
            </a:prstClr>
          </a:outerShdw>
        </a:effectLst>
      </xdr:spPr>
      <xdr:txBody>
        <a:bodyPr vert="horz" wrap="square" lIns="0" tIns="0" rIns="0" bIns="0" rtlCol="0" anchor="ctr">
          <a:normAutofit/>
        </a:bodyPr>
        <a:lstStyle>
          <a:lvl1pPr marL="0" indent="0" algn="l" defTabSz="914400" rtl="0" eaLnBrk="1" latinLnBrk="0" hangingPunct="1">
            <a:lnSpc>
              <a:spcPct val="110000"/>
            </a:lnSpc>
            <a:spcBef>
              <a:spcPts val="1000"/>
            </a:spcBef>
            <a:spcAft>
              <a:spcPts val="200"/>
            </a:spcAft>
            <a:buFont typeface="Arial" panose="020B0604020202020204" pitchFamily="34" charset="0"/>
            <a:buNone/>
            <a:defRPr sz="4000" kern="1200">
              <a:solidFill>
                <a:schemeClr val="bg1"/>
              </a:solidFill>
              <a:latin typeface="+mn-lt"/>
              <a:ea typeface="+mn-ea"/>
              <a:cs typeface="+mn-cs"/>
            </a:defRPr>
          </a:lvl1pPr>
          <a:lvl2pPr marL="457200" indent="0" algn="ctr" defTabSz="914400" rtl="0" eaLnBrk="1" latinLnBrk="0" hangingPunct="1">
            <a:lnSpc>
              <a:spcPct val="110000"/>
            </a:lnSpc>
            <a:spcBef>
              <a:spcPts val="500"/>
            </a:spcBef>
            <a:spcAft>
              <a:spcPts val="200"/>
            </a:spcAft>
            <a:buFont typeface="Arial" panose="020B0604020202020204" pitchFamily="34" charset="0"/>
            <a:buNone/>
            <a:defRPr sz="2000" kern="1200">
              <a:solidFill>
                <a:schemeClr val="tx1"/>
              </a:solidFill>
              <a:latin typeface="+mn-lt"/>
              <a:ea typeface="+mn-ea"/>
              <a:cs typeface="+mn-cs"/>
            </a:defRPr>
          </a:lvl2pPr>
          <a:lvl3pPr marL="914400" indent="0" algn="ctr" defTabSz="914400" rtl="0" eaLnBrk="1" latinLnBrk="0" hangingPunct="1">
            <a:lnSpc>
              <a:spcPct val="110000"/>
            </a:lnSpc>
            <a:spcBef>
              <a:spcPts val="500"/>
            </a:spcBef>
            <a:spcAft>
              <a:spcPts val="200"/>
            </a:spcAft>
            <a:buFont typeface="Arial" panose="020B0604020202020204" pitchFamily="34" charset="0"/>
            <a:buNone/>
            <a:defRPr sz="1800" kern="1200">
              <a:solidFill>
                <a:schemeClr val="tx1"/>
              </a:solidFill>
              <a:latin typeface="+mn-lt"/>
              <a:ea typeface="+mn-ea"/>
              <a:cs typeface="+mn-cs"/>
            </a:defRPr>
          </a:lvl3pPr>
          <a:lvl4pPr marL="13716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4pPr>
          <a:lvl5pPr marL="1828800" indent="0" algn="ctr" defTabSz="914400" rtl="0" eaLnBrk="1" latinLnBrk="0" hangingPunct="1">
            <a:lnSpc>
              <a:spcPct val="110000"/>
            </a:lnSpc>
            <a:spcBef>
              <a:spcPts val="500"/>
            </a:spcBef>
            <a:spcAft>
              <a:spcPts val="200"/>
            </a:spcAft>
            <a:buFont typeface="Arial" panose="020B0604020202020204" pitchFamily="34" charset="0"/>
            <a:buNone/>
            <a:defRPr sz="1600" kern="1200">
              <a:solidFill>
                <a:schemeClr val="tx1"/>
              </a:solidFill>
              <a:latin typeface="+mn-lt"/>
              <a:ea typeface="+mn-ea"/>
              <a:cs typeface="+mn-cs"/>
            </a:defRPr>
          </a:lvl5pPr>
          <a:lvl6pPr marL="22860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6pPr>
          <a:lvl7pPr marL="27432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7pPr>
          <a:lvl8pPr marL="32004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8pPr>
          <a:lvl9pPr marL="3657600" indent="0" algn="ctr" defTabSz="914400" rtl="0" eaLnBrk="1" latinLnBrk="0" hangingPunct="1">
            <a:lnSpc>
              <a:spcPct val="90000"/>
            </a:lnSpc>
            <a:spcBef>
              <a:spcPts val="500"/>
            </a:spcBef>
            <a:buFont typeface="Arial" panose="020B0604020202020204" pitchFamily="34" charset="0"/>
            <a:buNone/>
            <a:defRPr sz="1600" kern="1200">
              <a:solidFill>
                <a:schemeClr val="tx1"/>
              </a:solidFill>
              <a:latin typeface="+mn-lt"/>
              <a:ea typeface="+mn-ea"/>
              <a:cs typeface="+mn-cs"/>
            </a:defRPr>
          </a:lvl9pPr>
        </a:lstStyle>
        <a:p>
          <a:pPr algn="ctr"/>
          <a:r>
            <a:rPr lang="nl-NL" sz="3200" b="1">
              <a:solidFill>
                <a:srgbClr val="00519D"/>
              </a:solidFill>
              <a:latin typeface="Muli Black" panose="00000A00000000000000" pitchFamily="2" charset="0"/>
            </a:rPr>
            <a:t>Jouw inkomen bij arbeidsongeschiktheid</a:t>
          </a:r>
        </a:p>
      </xdr:txBody>
    </xdr:sp>
    <xdr:clientData/>
  </xdr:twoCellAnchor>
  <xdr:oneCellAnchor>
    <xdr:from>
      <xdr:col>11</xdr:col>
      <xdr:colOff>234409</xdr:colOff>
      <xdr:row>168</xdr:row>
      <xdr:rowOff>165650</xdr:rowOff>
    </xdr:from>
    <xdr:ext cx="565200" cy="590400"/>
    <xdr:pic>
      <xdr:nvPicPr>
        <xdr:cNvPr id="117" name="Afbeelding 36" descr="Badge silhouet">
          <a:extLst>
            <a:ext uri="{FF2B5EF4-FFF2-40B4-BE49-F238E27FC236}">
              <a16:creationId xmlns:a16="http://schemas.microsoft.com/office/drawing/2014/main" id="{799C7B45-C99F-47A1-B393-C78F13F46676}"/>
            </a:ext>
          </a:extLst>
        </xdr:cNvPr>
        <xdr:cNvPicPr>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bwMode="auto">
        <a:xfrm>
          <a:off x="7120984" y="11643275"/>
          <a:ext cx="565200" cy="590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274755</xdr:colOff>
      <xdr:row>168</xdr:row>
      <xdr:rowOff>33130</xdr:rowOff>
    </xdr:from>
    <xdr:to>
      <xdr:col>20</xdr:col>
      <xdr:colOff>231921</xdr:colOff>
      <xdr:row>172</xdr:row>
      <xdr:rowOff>149087</xdr:rowOff>
    </xdr:to>
    <xdr:sp macro="" textlink="Grafiekblad!B25">
      <xdr:nvSpPr>
        <xdr:cNvPr id="118" name="Rechthoek 117">
          <a:extLst>
            <a:ext uri="{FF2B5EF4-FFF2-40B4-BE49-F238E27FC236}">
              <a16:creationId xmlns:a16="http://schemas.microsoft.com/office/drawing/2014/main" id="{3D2692EB-51E7-411F-A557-F201EB56E19F}"/>
            </a:ext>
          </a:extLst>
        </xdr:cNvPr>
        <xdr:cNvSpPr/>
      </xdr:nvSpPr>
      <xdr:spPr>
        <a:xfrm>
          <a:off x="7497190" y="27307760"/>
          <a:ext cx="5191774" cy="877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79F7DB3A-EBB8-46DB-8AA6-32221CA7B661}" type="TxLink">
            <a:rPr lang="en-US" sz="1200" b="1" i="0" u="none" strike="noStrike">
              <a:solidFill>
                <a:srgbClr val="00519D"/>
              </a:solidFill>
              <a:latin typeface="Muli Light" panose="00000400000000000000" pitchFamily="2" charset="0"/>
              <a:ea typeface="+mn-ea"/>
              <a:cs typeface="Segoe UI"/>
            </a:rPr>
            <a:pPr marL="0" indent="0" algn="l"/>
            <a:t>Stel, op enig moment word je voor 50% arbeidsongeschikt bevonden en je vindt een nieuwe baan. Hiermee weet je nog 50% te verdienen van je restverdiencapaciteit (het bedrag dat UWV vindt dat je nog zou kunnen verdienen).</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12</xdr:col>
      <xdr:colOff>0</xdr:colOff>
      <xdr:row>174</xdr:row>
      <xdr:rowOff>8285</xdr:rowOff>
    </xdr:from>
    <xdr:to>
      <xdr:col>19</xdr:col>
      <xdr:colOff>749991</xdr:colOff>
      <xdr:row>179</xdr:row>
      <xdr:rowOff>94010</xdr:rowOff>
    </xdr:to>
    <xdr:sp macro="" textlink="Grafiekblad!B26">
      <xdr:nvSpPr>
        <xdr:cNvPr id="119" name="Rechthoek 118">
          <a:extLst>
            <a:ext uri="{FF2B5EF4-FFF2-40B4-BE49-F238E27FC236}">
              <a16:creationId xmlns:a16="http://schemas.microsoft.com/office/drawing/2014/main" id="{9D557046-93B2-476D-B57E-66130DE96CAD}"/>
            </a:ext>
          </a:extLst>
        </xdr:cNvPr>
        <xdr:cNvSpPr/>
      </xdr:nvSpPr>
      <xdr:spPr>
        <a:xfrm>
          <a:off x="7222435" y="28011785"/>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C5A84F2E-3E97-47C9-BD07-05F1FA1AC007}"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De aanvullende verzekeringen van Renewi vullen je inkomen aan tot 83% van je oude loon. Zonder deze verzekering kom je uit op 60% van je oude loon</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twoCellAnchor editAs="oneCell">
    <xdr:from>
      <xdr:col>1</xdr:col>
      <xdr:colOff>422413</xdr:colOff>
      <xdr:row>162</xdr:row>
      <xdr:rowOff>149087</xdr:rowOff>
    </xdr:from>
    <xdr:to>
      <xdr:col>3</xdr:col>
      <xdr:colOff>289063</xdr:colOff>
      <xdr:row>167</xdr:row>
      <xdr:rowOff>2484</xdr:rowOff>
    </xdr:to>
    <xdr:pic>
      <xdr:nvPicPr>
        <xdr:cNvPr id="120" name="Graphic 119">
          <a:extLst>
            <a:ext uri="{FF2B5EF4-FFF2-40B4-BE49-F238E27FC236}">
              <a16:creationId xmlns:a16="http://schemas.microsoft.com/office/drawing/2014/main" id="{2F7D3900-2F00-4511-9267-06CB73AEE885}"/>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95739" y="26993022"/>
          <a:ext cx="1092476" cy="681658"/>
        </a:xfrm>
        <a:prstGeom prst="rect">
          <a:avLst/>
        </a:prstGeom>
      </xdr:spPr>
    </xdr:pic>
    <xdr:clientData/>
  </xdr:twoCellAnchor>
  <xdr:twoCellAnchor editAs="oneCell">
    <xdr:from>
      <xdr:col>9</xdr:col>
      <xdr:colOff>33139</xdr:colOff>
      <xdr:row>162</xdr:row>
      <xdr:rowOff>66261</xdr:rowOff>
    </xdr:from>
    <xdr:to>
      <xdr:col>12</xdr:col>
      <xdr:colOff>347464</xdr:colOff>
      <xdr:row>167</xdr:row>
      <xdr:rowOff>66260</xdr:rowOff>
    </xdr:to>
    <xdr:pic>
      <xdr:nvPicPr>
        <xdr:cNvPr id="204" name="Afbeelding 203" descr="Nationale-Nederlanden | Onze support heb je : NN">
          <a:extLst>
            <a:ext uri="{FF2B5EF4-FFF2-40B4-BE49-F238E27FC236}">
              <a16:creationId xmlns:a16="http://schemas.microsoft.com/office/drawing/2014/main" id="{824EC3D7-8C5F-EC30-5F9B-76B1B17FE8CA}"/>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30630" b="31556"/>
        <a:stretch/>
      </xdr:blipFill>
      <xdr:spPr bwMode="auto">
        <a:xfrm>
          <a:off x="5416835" y="26338696"/>
          <a:ext cx="2153064" cy="828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215357</xdr:colOff>
      <xdr:row>162</xdr:row>
      <xdr:rowOff>74547</xdr:rowOff>
    </xdr:from>
    <xdr:to>
      <xdr:col>18</xdr:col>
      <xdr:colOff>111144</xdr:colOff>
      <xdr:row>167</xdr:row>
      <xdr:rowOff>103122</xdr:rowOff>
    </xdr:to>
    <xdr:grpSp>
      <xdr:nvGrpSpPr>
        <xdr:cNvPr id="206" name="Groep 205">
          <a:extLst>
            <a:ext uri="{FF2B5EF4-FFF2-40B4-BE49-F238E27FC236}">
              <a16:creationId xmlns:a16="http://schemas.microsoft.com/office/drawing/2014/main" id="{E48DDEB5-250C-40BE-BF24-F2F3A87F143B}"/>
            </a:ext>
          </a:extLst>
        </xdr:cNvPr>
        <xdr:cNvGrpSpPr/>
      </xdr:nvGrpSpPr>
      <xdr:grpSpPr>
        <a:xfrm>
          <a:off x="10292807" y="10218672"/>
          <a:ext cx="1172137" cy="838200"/>
          <a:chOff x="3664079" y="20802600"/>
          <a:chExt cx="1571357" cy="1133886"/>
        </a:xfrm>
      </xdr:grpSpPr>
      <xdr:sp macro="" textlink="">
        <xdr:nvSpPr>
          <xdr:cNvPr id="207" name="Ovaal 206">
            <a:extLst>
              <a:ext uri="{FF2B5EF4-FFF2-40B4-BE49-F238E27FC236}">
                <a16:creationId xmlns:a16="http://schemas.microsoft.com/office/drawing/2014/main" id="{9969E6B5-30FE-8245-D33C-82637794FE96}"/>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M$114">
        <xdr:nvSpPr>
          <xdr:cNvPr id="211" name="Ovaal 210">
            <a:extLst>
              <a:ext uri="{FF2B5EF4-FFF2-40B4-BE49-F238E27FC236}">
                <a16:creationId xmlns:a16="http://schemas.microsoft.com/office/drawing/2014/main" id="{1BA310B9-939E-795E-8AF6-F0C7B21C8533}"/>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865CF343-FC43-448E-8EF5-DB5AE35A33BB}" type="TxLink">
              <a:rPr lang="en-US" sz="1000" b="0" i="0" u="none" strike="noStrike">
                <a:solidFill>
                  <a:srgbClr val="000000"/>
                </a:solidFill>
                <a:latin typeface="Muli Light"/>
              </a:rPr>
              <a:pPr algn="ctr"/>
              <a:t>€ 25,20 bruto per maand</a:t>
            </a:fld>
            <a:endParaRPr lang="nl-NL" sz="1100"/>
          </a:p>
        </xdr:txBody>
      </xdr:sp>
    </xdr:grpSp>
    <xdr:clientData/>
  </xdr:twoCellAnchor>
  <xdr:twoCellAnchor>
    <xdr:from>
      <xdr:col>15</xdr:col>
      <xdr:colOff>8292</xdr:colOff>
      <xdr:row>163</xdr:row>
      <xdr:rowOff>124239</xdr:rowOff>
    </xdr:from>
    <xdr:to>
      <xdr:col>16</xdr:col>
      <xdr:colOff>82835</xdr:colOff>
      <xdr:row>166</xdr:row>
      <xdr:rowOff>8283</xdr:rowOff>
    </xdr:to>
    <xdr:sp macro="" textlink="">
      <xdr:nvSpPr>
        <xdr:cNvPr id="212" name="Is gelijk aan 211">
          <a:extLst>
            <a:ext uri="{FF2B5EF4-FFF2-40B4-BE49-F238E27FC236}">
              <a16:creationId xmlns:a16="http://schemas.microsoft.com/office/drawing/2014/main" id="{AE2246E4-92EB-6B5D-34CE-0F7AE96E002C}"/>
            </a:ext>
          </a:extLst>
        </xdr:cNvPr>
        <xdr:cNvSpPr/>
      </xdr:nvSpPr>
      <xdr:spPr>
        <a:xfrm>
          <a:off x="9069466" y="26562326"/>
          <a:ext cx="687456" cy="381000"/>
        </a:xfrm>
        <a:prstGeom prst="mathEqual">
          <a:avLst/>
        </a:prstGeom>
        <a:solidFill>
          <a:srgbClr val="4FB4E7"/>
        </a:solidFill>
        <a:ln>
          <a:solidFill>
            <a:srgbClr val="00519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15</xdr:col>
      <xdr:colOff>1795</xdr:colOff>
      <xdr:row>34</xdr:row>
      <xdr:rowOff>165652</xdr:rowOff>
    </xdr:from>
    <xdr:to>
      <xdr:col>15</xdr:col>
      <xdr:colOff>531881</xdr:colOff>
      <xdr:row>37</xdr:row>
      <xdr:rowOff>140804</xdr:rowOff>
    </xdr:to>
    <xdr:sp macro="" textlink="">
      <xdr:nvSpPr>
        <xdr:cNvPr id="2" name="Ovaal 1">
          <a:extLst>
            <a:ext uri="{FF2B5EF4-FFF2-40B4-BE49-F238E27FC236}">
              <a16:creationId xmlns:a16="http://schemas.microsoft.com/office/drawing/2014/main" id="{720B8C44-9A22-4BBF-B8F1-6A66A0BC4EAD}"/>
            </a:ext>
          </a:extLst>
        </xdr:cNvPr>
        <xdr:cNvSpPr/>
      </xdr:nvSpPr>
      <xdr:spPr>
        <a:xfrm>
          <a:off x="9062969" y="5698435"/>
          <a:ext cx="530086" cy="546652"/>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clientData/>
  </xdr:twoCellAnchor>
  <xdr:twoCellAnchor>
    <xdr:from>
      <xdr:col>13</xdr:col>
      <xdr:colOff>182208</xdr:colOff>
      <xdr:row>34</xdr:row>
      <xdr:rowOff>172923</xdr:rowOff>
    </xdr:from>
    <xdr:to>
      <xdr:col>15</xdr:col>
      <xdr:colOff>200577</xdr:colOff>
      <xdr:row>40</xdr:row>
      <xdr:rowOff>150093</xdr:rowOff>
    </xdr:to>
    <xdr:sp macro="" textlink="$G$115">
      <xdr:nvSpPr>
        <xdr:cNvPr id="6" name="Ovaal 5">
          <a:extLst>
            <a:ext uri="{FF2B5EF4-FFF2-40B4-BE49-F238E27FC236}">
              <a16:creationId xmlns:a16="http://schemas.microsoft.com/office/drawing/2014/main" id="{101CD1D9-3EC9-48F8-AAEB-9B10BB65CF21}"/>
            </a:ext>
          </a:extLst>
        </xdr:cNvPr>
        <xdr:cNvSpPr/>
      </xdr:nvSpPr>
      <xdr:spPr>
        <a:xfrm>
          <a:off x="8017556" y="5705706"/>
          <a:ext cx="1244195" cy="1120170"/>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B840D610-BF90-49AD-9F4E-9635B6B9FDBC}" type="TxLink">
            <a:rPr lang="en-US" sz="1000" b="0" i="0" u="none" strike="noStrike">
              <a:solidFill>
                <a:srgbClr val="000000"/>
              </a:solidFill>
              <a:latin typeface="Muli Light"/>
            </a:rPr>
            <a:pPr algn="ctr"/>
            <a:t>€ 302,40 bruto per jaar
€ 25,20 bruto per maand</a:t>
          </a:fld>
          <a:endParaRPr lang="nl-NL" sz="1100"/>
        </a:p>
      </xdr:txBody>
    </xdr:sp>
    <xdr:clientData/>
  </xdr:twoCellAnchor>
  <xdr:twoCellAnchor>
    <xdr:from>
      <xdr:col>1</xdr:col>
      <xdr:colOff>311821</xdr:colOff>
      <xdr:row>238</xdr:row>
      <xdr:rowOff>85762</xdr:rowOff>
    </xdr:from>
    <xdr:to>
      <xdr:col>20</xdr:col>
      <xdr:colOff>2351</xdr:colOff>
      <xdr:row>265</xdr:row>
      <xdr:rowOff>14285</xdr:rowOff>
    </xdr:to>
    <xdr:grpSp>
      <xdr:nvGrpSpPr>
        <xdr:cNvPr id="9" name="Groep 8">
          <a:extLst>
            <a:ext uri="{FF2B5EF4-FFF2-40B4-BE49-F238E27FC236}">
              <a16:creationId xmlns:a16="http://schemas.microsoft.com/office/drawing/2014/main" id="{A435EEDC-40D3-42D0-B2FA-646104684C13}"/>
            </a:ext>
          </a:extLst>
        </xdr:cNvPr>
        <xdr:cNvGrpSpPr/>
      </xdr:nvGrpSpPr>
      <xdr:grpSpPr>
        <a:xfrm>
          <a:off x="597571" y="22307587"/>
          <a:ext cx="12387355" cy="4300498"/>
          <a:chOff x="982317" y="21869400"/>
          <a:chExt cx="11817705" cy="4300537"/>
        </a:xfrm>
      </xdr:grpSpPr>
      <xdr:grpSp>
        <xdr:nvGrpSpPr>
          <xdr:cNvPr id="10" name="Groep 9">
            <a:extLst>
              <a:ext uri="{FF2B5EF4-FFF2-40B4-BE49-F238E27FC236}">
                <a16:creationId xmlns:a16="http://schemas.microsoft.com/office/drawing/2014/main" id="{5A34483B-7F91-F0DD-6E53-D0163F55EF6F}"/>
              </a:ext>
            </a:extLst>
          </xdr:cNvPr>
          <xdr:cNvGrpSpPr/>
        </xdr:nvGrpSpPr>
        <xdr:grpSpPr>
          <a:xfrm>
            <a:off x="982317" y="21869400"/>
            <a:ext cx="11817705" cy="4300537"/>
            <a:chOff x="1068042" y="18802350"/>
            <a:chExt cx="11817705" cy="4300537"/>
          </a:xfrm>
        </xdr:grpSpPr>
        <xdr:graphicFrame macro="">
          <xdr:nvGraphicFramePr>
            <xdr:cNvPr id="41" name="Grafiek 40">
              <a:extLst>
                <a:ext uri="{FF2B5EF4-FFF2-40B4-BE49-F238E27FC236}">
                  <a16:creationId xmlns:a16="http://schemas.microsoft.com/office/drawing/2014/main" id="{0FA7E0D6-2966-B1CD-35B3-DF04E2FD675D}"/>
                </a:ext>
              </a:extLst>
            </xdr:cNvPr>
            <xdr:cNvGraphicFramePr>
              <a:graphicFrameLocks/>
            </xdr:cNvGraphicFramePr>
          </xdr:nvGraphicFramePr>
          <xdr:xfrm>
            <a:off x="1068042" y="18802350"/>
            <a:ext cx="5667789" cy="3249681"/>
          </xdr:xfrm>
          <a:graphic>
            <a:graphicData uri="http://schemas.openxmlformats.org/drawingml/2006/chart">
              <c:chart xmlns:c="http://schemas.openxmlformats.org/drawingml/2006/chart" xmlns:r="http://schemas.openxmlformats.org/officeDocument/2006/relationships" r:id="rId12"/>
            </a:graphicData>
          </a:graphic>
        </xdr:graphicFrame>
        <xdr:sp macro="" textlink="Grafiekblad!B9">
          <xdr:nvSpPr>
            <xdr:cNvPr id="43" name="Rechthoek 42">
              <a:extLst>
                <a:ext uri="{FF2B5EF4-FFF2-40B4-BE49-F238E27FC236}">
                  <a16:creationId xmlns:a16="http://schemas.microsoft.com/office/drawing/2014/main" id="{B0FA23F9-10BC-11F5-C060-7743663A5134}"/>
                </a:ext>
              </a:extLst>
            </xdr:cNvPr>
            <xdr:cNvSpPr/>
          </xdr:nvSpPr>
          <xdr:spPr>
            <a:xfrm rot="16200000">
              <a:off x="7777952"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0F1AD55C-F564-45D3-AD5D-45ECC12BBC2D}"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44" name="Rechthoek 43">
              <a:extLst>
                <a:ext uri="{FF2B5EF4-FFF2-40B4-BE49-F238E27FC236}">
                  <a16:creationId xmlns:a16="http://schemas.microsoft.com/office/drawing/2014/main" id="{16B1BA6D-DFD3-8C9F-2C3B-925B44395C24}"/>
                </a:ext>
              </a:extLst>
            </xdr:cNvPr>
            <xdr:cNvSpPr/>
          </xdr:nvSpPr>
          <xdr:spPr>
            <a:xfrm rot="16200000">
              <a:off x="8416124"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7503B021-8B06-43E2-9C44-E9A16987960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74">
          <xdr:nvSpPr>
            <xdr:cNvPr id="45" name="Rechthoek 44">
              <a:extLst>
                <a:ext uri="{FF2B5EF4-FFF2-40B4-BE49-F238E27FC236}">
                  <a16:creationId xmlns:a16="http://schemas.microsoft.com/office/drawing/2014/main" id="{1D1AF173-4DBC-9D2C-6C95-9C25691DCB18}"/>
                </a:ext>
              </a:extLst>
            </xdr:cNvPr>
            <xdr:cNvSpPr/>
          </xdr:nvSpPr>
          <xdr:spPr>
            <a:xfrm rot="16200000">
              <a:off x="9044776"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DFB90E9-4D30-4767-8CFF-DDB12D6584B2}" type="TxLink">
                <a:rPr lang="en-US" sz="1000" b="0" i="0" u="none" strike="noStrike">
                  <a:solidFill>
                    <a:schemeClr val="tx1">
                      <a:lumMod val="65000"/>
                      <a:lumOff val="35000"/>
                    </a:schemeClr>
                  </a:solidFill>
                  <a:latin typeface="Muli Light" panose="00000400000000000000" pitchFamily="2" charset="0"/>
                  <a:cs typeface="Arial"/>
                </a:rPr>
                <a:pPr algn="r"/>
                <a:t>Vanaf 3e jaar (max. 10 jaar)</a:t>
              </a:fld>
              <a:endParaRPr lang="nl-NL" sz="1100">
                <a:solidFill>
                  <a:schemeClr val="tx1">
                    <a:lumMod val="65000"/>
                    <a:lumOff val="35000"/>
                  </a:schemeClr>
                </a:solidFill>
                <a:latin typeface="Muli Light" panose="00000400000000000000" pitchFamily="2" charset="0"/>
              </a:endParaRPr>
            </a:p>
          </xdr:txBody>
        </xdr:sp>
        <xdr:sp macro="" textlink="Grafiekblad!B75">
          <xdr:nvSpPr>
            <xdr:cNvPr id="47" name="Rechthoek 46">
              <a:extLst>
                <a:ext uri="{FF2B5EF4-FFF2-40B4-BE49-F238E27FC236}">
                  <a16:creationId xmlns:a16="http://schemas.microsoft.com/office/drawing/2014/main" id="{2F4A877A-A6BA-A9C5-276C-1BEE3F320052}"/>
                </a:ext>
              </a:extLst>
            </xdr:cNvPr>
            <xdr:cNvSpPr/>
          </xdr:nvSpPr>
          <xdr:spPr>
            <a:xfrm rot="16200000">
              <a:off x="9644853"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672A5FEB-F2C5-43FB-AD93-C0920F7FEC79}"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latin typeface="Muli Light" panose="00000400000000000000" pitchFamily="2" charset="0"/>
              </a:endParaRPr>
            </a:p>
          </xdr:txBody>
        </xdr:sp>
        <xdr:sp macro="" textlink="Grafiekblad!B76">
          <xdr:nvSpPr>
            <xdr:cNvPr id="49" name="Rechthoek 48">
              <a:extLst>
                <a:ext uri="{FF2B5EF4-FFF2-40B4-BE49-F238E27FC236}">
                  <a16:creationId xmlns:a16="http://schemas.microsoft.com/office/drawing/2014/main" id="{B9050D29-2B4E-0EDE-F6F7-503A2F9EDE4F}"/>
                </a:ext>
              </a:extLst>
            </xdr:cNvPr>
            <xdr:cNvSpPr/>
          </xdr:nvSpPr>
          <xdr:spPr>
            <a:xfrm rot="16200000">
              <a:off x="10273500"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8F4E238-8E11-4936-8F13-79DA5CF67049}"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77">
          <xdr:nvSpPr>
            <xdr:cNvPr id="51" name="Rechthoek 50">
              <a:extLst>
                <a:ext uri="{FF2B5EF4-FFF2-40B4-BE49-F238E27FC236}">
                  <a16:creationId xmlns:a16="http://schemas.microsoft.com/office/drawing/2014/main" id="{EAEDBD74-B9CA-73B1-6A4C-540D5CBD411F}"/>
                </a:ext>
              </a:extLst>
            </xdr:cNvPr>
            <xdr:cNvSpPr/>
          </xdr:nvSpPr>
          <xdr:spPr>
            <a:xfrm rot="16200000">
              <a:off x="10864049"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63D7CE3-D862-48C6-AA43-1E1F3086CA3E}"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78">
          <xdr:nvSpPr>
            <xdr:cNvPr id="55" name="Rechthoek 54">
              <a:extLst>
                <a:ext uri="{FF2B5EF4-FFF2-40B4-BE49-F238E27FC236}">
                  <a16:creationId xmlns:a16="http://schemas.microsoft.com/office/drawing/2014/main" id="{343CED51-F6DD-E795-800A-59956CB53D3F}"/>
                </a:ext>
              </a:extLst>
            </xdr:cNvPr>
            <xdr:cNvSpPr/>
          </xdr:nvSpPr>
          <xdr:spPr>
            <a:xfrm rot="16200000">
              <a:off x="11473658"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3D733B1D-8250-473E-B9A0-A6A5290E4171}" type="TxLink">
                <a:rPr lang="en-US" sz="1000" b="0" i="0" u="none" strike="noStrike">
                  <a:solidFill>
                    <a:schemeClr val="tx1">
                      <a:lumMod val="65000"/>
                      <a:lumOff val="35000"/>
                    </a:schemeClr>
                  </a:solidFill>
                  <a:latin typeface="Muli Light" panose="00000400000000000000" pitchFamily="2" charset="0"/>
                  <a:cs typeface="Arial"/>
                </a:rPr>
                <a:pPr algn="r"/>
                <a:t>Daarna</a:t>
              </a:fld>
              <a:endParaRPr lang="nl-NL" sz="1100">
                <a:solidFill>
                  <a:schemeClr val="tx1">
                    <a:lumMod val="65000"/>
                    <a:lumOff val="35000"/>
                  </a:schemeClr>
                </a:solidFill>
                <a:latin typeface="Muli Light" panose="00000400000000000000" pitchFamily="2" charset="0"/>
              </a:endParaRPr>
            </a:p>
          </xdr:txBody>
        </xdr:sp>
        <xdr:sp macro="" textlink="Grafiekblad!B16">
          <xdr:nvSpPr>
            <xdr:cNvPr id="56" name="Rechthoek 55">
              <a:extLst>
                <a:ext uri="{FF2B5EF4-FFF2-40B4-BE49-F238E27FC236}">
                  <a16:creationId xmlns:a16="http://schemas.microsoft.com/office/drawing/2014/main" id="{0970209A-BBBB-5D70-1330-8C1F9D990C97}"/>
                </a:ext>
              </a:extLst>
            </xdr:cNvPr>
            <xdr:cNvSpPr/>
          </xdr:nvSpPr>
          <xdr:spPr>
            <a:xfrm rot="16200000">
              <a:off x="12073741" y="22286119"/>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AC1B3B5-A1A3-4FDA-8F28-AD0FC6784B2F}" type="TxLink">
                <a:rPr lang="en-US" sz="1000" b="0" i="0" u="none" strike="noStrike">
                  <a:solidFill>
                    <a:srgbClr val="000000"/>
                  </a:solidFill>
                  <a:latin typeface="Arial"/>
                  <a:cs typeface="Arial"/>
                </a:rPr>
                <a:pPr algn="r"/>
                <a:t> </a:t>
              </a:fld>
              <a:endParaRPr lang="nl-NL" sz="1100">
                <a:solidFill>
                  <a:schemeClr val="tx1">
                    <a:lumMod val="65000"/>
                    <a:lumOff val="35000"/>
                  </a:schemeClr>
                </a:solidFill>
              </a:endParaRPr>
            </a:p>
          </xdr:txBody>
        </xdr:sp>
        <xdr:sp macro="" textlink="Grafiekblad!B9">
          <xdr:nvSpPr>
            <xdr:cNvPr id="64" name="Rechthoek 63">
              <a:extLst>
                <a:ext uri="{FF2B5EF4-FFF2-40B4-BE49-F238E27FC236}">
                  <a16:creationId xmlns:a16="http://schemas.microsoft.com/office/drawing/2014/main" id="{F33BFF67-A00F-8648-DBAE-49B892A8D341}"/>
                </a:ext>
              </a:extLst>
            </xdr:cNvPr>
            <xdr:cNvSpPr/>
          </xdr:nvSpPr>
          <xdr:spPr>
            <a:xfrm rot="16200000">
              <a:off x="13120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5C3ECD48-1915-4CFE-9DA7-73309C4367B8}" type="TxLink">
                <a:rPr lang="en-US" sz="1000" b="0" i="0" u="none" strike="noStrike">
                  <a:solidFill>
                    <a:schemeClr val="tx1">
                      <a:lumMod val="65000"/>
                      <a:lumOff val="35000"/>
                    </a:schemeClr>
                  </a:solidFill>
                  <a:latin typeface="Muli Light" panose="00000400000000000000" pitchFamily="2" charset="0"/>
                  <a:cs typeface="Arial"/>
                </a:rPr>
                <a:pPr algn="r"/>
                <a:t>1e ziektejaar</a:t>
              </a:fld>
              <a:endParaRPr lang="nl-NL" sz="1100">
                <a:solidFill>
                  <a:schemeClr val="tx1">
                    <a:lumMod val="65000"/>
                    <a:lumOff val="35000"/>
                  </a:schemeClr>
                </a:solidFill>
                <a:latin typeface="Muli Light" panose="00000400000000000000" pitchFamily="2" charset="0"/>
              </a:endParaRPr>
            </a:p>
          </xdr:txBody>
        </xdr:sp>
        <xdr:sp macro="" textlink="Grafiekblad!B10">
          <xdr:nvSpPr>
            <xdr:cNvPr id="88" name="Rechthoek 87">
              <a:extLst>
                <a:ext uri="{FF2B5EF4-FFF2-40B4-BE49-F238E27FC236}">
                  <a16:creationId xmlns:a16="http://schemas.microsoft.com/office/drawing/2014/main" id="{B454AF8E-AC9B-1FC8-5379-67CDF49ED474}"/>
                </a:ext>
              </a:extLst>
            </xdr:cNvPr>
            <xdr:cNvSpPr/>
          </xdr:nvSpPr>
          <xdr:spPr>
            <a:xfrm rot="16200000">
              <a:off x="19502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C37DFB22-23BC-4FBE-AACE-1DAFC86704A0}" type="TxLink">
                <a:rPr lang="en-US" sz="1000" b="0" i="0" u="none" strike="noStrike">
                  <a:solidFill>
                    <a:schemeClr val="tx1">
                      <a:lumMod val="65000"/>
                      <a:lumOff val="35000"/>
                    </a:schemeClr>
                  </a:solidFill>
                  <a:latin typeface="Muli Light" panose="00000400000000000000" pitchFamily="2" charset="0"/>
                  <a:cs typeface="Arial"/>
                </a:rPr>
                <a:pPr algn="r"/>
                <a:t>2e ziektejaar</a:t>
              </a:fld>
              <a:endParaRPr lang="nl-NL" sz="1100">
                <a:solidFill>
                  <a:schemeClr val="tx1">
                    <a:lumMod val="65000"/>
                    <a:lumOff val="35000"/>
                  </a:schemeClr>
                </a:solidFill>
                <a:latin typeface="Muli Light" panose="00000400000000000000" pitchFamily="2" charset="0"/>
              </a:endParaRPr>
            </a:p>
          </xdr:txBody>
        </xdr:sp>
        <xdr:sp macro="" textlink="Grafiekblad!B11">
          <xdr:nvSpPr>
            <xdr:cNvPr id="141" name="Rechthoek 140">
              <a:extLst>
                <a:ext uri="{FF2B5EF4-FFF2-40B4-BE49-F238E27FC236}">
                  <a16:creationId xmlns:a16="http://schemas.microsoft.com/office/drawing/2014/main" id="{B1580FD4-DB22-BACD-D286-79E3D2D07F81}"/>
                </a:ext>
              </a:extLst>
            </xdr:cNvPr>
            <xdr:cNvSpPr/>
          </xdr:nvSpPr>
          <xdr:spPr>
            <a:xfrm rot="16200000">
              <a:off x="257889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47D7B36-3432-48F8-9291-209AC48EFA4F}" type="TxLink">
                <a:rPr lang="en-US" sz="1000" b="0" i="0" u="none" strike="noStrike">
                  <a:solidFill>
                    <a:schemeClr val="tx1">
                      <a:lumMod val="65000"/>
                      <a:lumOff val="35000"/>
                    </a:schemeClr>
                  </a:solidFill>
                  <a:latin typeface="Muli Light" panose="00000400000000000000" pitchFamily="2" charset="0"/>
                  <a:cs typeface="Arial"/>
                </a:rPr>
                <a:pPr algn="r"/>
                <a:t>Vanaf 3e jaar (max. 24 mnd)</a:t>
              </a:fld>
              <a:endParaRPr lang="nl-NL" sz="1100">
                <a:solidFill>
                  <a:schemeClr val="tx1">
                    <a:lumMod val="65000"/>
                    <a:lumOff val="35000"/>
                  </a:schemeClr>
                </a:solidFill>
                <a:latin typeface="Muli Light" panose="00000400000000000000" pitchFamily="2" charset="0"/>
              </a:endParaRPr>
            </a:p>
          </xdr:txBody>
        </xdr:sp>
        <xdr:sp macro="" textlink="Grafiekblad!B12">
          <xdr:nvSpPr>
            <xdr:cNvPr id="142" name="Rechthoek 141">
              <a:extLst>
                <a:ext uri="{FF2B5EF4-FFF2-40B4-BE49-F238E27FC236}">
                  <a16:creationId xmlns:a16="http://schemas.microsoft.com/office/drawing/2014/main" id="{EAC1442F-B6C4-AE33-3042-C70DD3304256}"/>
                </a:ext>
              </a:extLst>
            </xdr:cNvPr>
            <xdr:cNvSpPr/>
          </xdr:nvSpPr>
          <xdr:spPr>
            <a:xfrm rot="16200000">
              <a:off x="31789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AB5FF95C-44F9-4C28-89B4-21D8432491A3}" type="TxLink">
                <a:rPr lang="en-US" sz="1000" b="0" i="0" u="none" strike="noStrike">
                  <a:solidFill>
                    <a:schemeClr val="tx1">
                      <a:lumMod val="65000"/>
                      <a:lumOff val="35000"/>
                    </a:schemeClr>
                  </a:solidFill>
                  <a:latin typeface="Muli Light" panose="00000400000000000000" pitchFamily="2" charset="0"/>
                  <a:cs typeface="Arial"/>
                </a:rPr>
                <a:pPr algn="r"/>
                <a:t>Tot AOW leeftijd</a:t>
              </a:fld>
              <a:endParaRPr lang="nl-NL" sz="1100">
                <a:solidFill>
                  <a:schemeClr val="tx1">
                    <a:lumMod val="65000"/>
                    <a:lumOff val="35000"/>
                  </a:schemeClr>
                </a:solidFill>
                <a:latin typeface="Muli Light" panose="00000400000000000000" pitchFamily="2" charset="0"/>
              </a:endParaRPr>
            </a:p>
          </xdr:txBody>
        </xdr:sp>
        <xdr:sp macro="" textlink="Grafiekblad!B13">
          <xdr:nvSpPr>
            <xdr:cNvPr id="200" name="Rechthoek 199">
              <a:extLst>
                <a:ext uri="{FF2B5EF4-FFF2-40B4-BE49-F238E27FC236}">
                  <a16:creationId xmlns:a16="http://schemas.microsoft.com/office/drawing/2014/main" id="{FAE10680-BC46-8CF2-AE47-20F11C4D5424}"/>
                </a:ext>
              </a:extLst>
            </xdr:cNvPr>
            <xdr:cNvSpPr/>
          </xdr:nvSpPr>
          <xdr:spPr>
            <a:xfrm rot="16200000">
              <a:off x="380761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3F7F47-12A9-42ED-8D5F-C141D621BE4D}"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4">
          <xdr:nvSpPr>
            <xdr:cNvPr id="202" name="Rechthoek 201">
              <a:extLst>
                <a:ext uri="{FF2B5EF4-FFF2-40B4-BE49-F238E27FC236}">
                  <a16:creationId xmlns:a16="http://schemas.microsoft.com/office/drawing/2014/main" id="{FF469B89-14BB-28EB-2270-A654D4F3228C}"/>
                </a:ext>
              </a:extLst>
            </xdr:cNvPr>
            <xdr:cNvSpPr/>
          </xdr:nvSpPr>
          <xdr:spPr>
            <a:xfrm rot="16200000">
              <a:off x="43981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47F5AE73-099A-40F5-A0A8-19BF97A39D03}"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5">
          <xdr:nvSpPr>
            <xdr:cNvPr id="203" name="Rechthoek 202">
              <a:extLst>
                <a:ext uri="{FF2B5EF4-FFF2-40B4-BE49-F238E27FC236}">
                  <a16:creationId xmlns:a16="http://schemas.microsoft.com/office/drawing/2014/main" id="{BBC99E39-CD77-5B19-7459-1C963861BA37}"/>
                </a:ext>
              </a:extLst>
            </xdr:cNvPr>
            <xdr:cNvSpPr/>
          </xdr:nvSpPr>
          <xdr:spPr>
            <a:xfrm rot="16200000">
              <a:off x="5007769"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12B2758-A014-41CE-8101-7FE543B6C069}"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sp macro="" textlink="Grafiekblad!B16">
          <xdr:nvSpPr>
            <xdr:cNvPr id="205" name="Rechthoek 204">
              <a:extLst>
                <a:ext uri="{FF2B5EF4-FFF2-40B4-BE49-F238E27FC236}">
                  <a16:creationId xmlns:a16="http://schemas.microsoft.com/office/drawing/2014/main" id="{6FCCB66B-DD94-63DA-9E26-6E2B0A951076}"/>
                </a:ext>
              </a:extLst>
            </xdr:cNvPr>
            <xdr:cNvSpPr/>
          </xdr:nvSpPr>
          <xdr:spPr>
            <a:xfrm rot="16200000">
              <a:off x="5607844" y="22290881"/>
              <a:ext cx="1128712" cy="4953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fld id="{851D4AB5-D1E3-4D11-ABF4-7CED29BDBB26}" type="TxLink">
                <a:rPr lang="en-US" sz="1000" b="0" i="0" u="none" strike="noStrike">
                  <a:solidFill>
                    <a:schemeClr val="tx1">
                      <a:lumMod val="65000"/>
                      <a:lumOff val="35000"/>
                    </a:schemeClr>
                  </a:solidFill>
                  <a:latin typeface="Arial"/>
                  <a:cs typeface="Arial"/>
                </a:rPr>
                <a:pPr algn="r"/>
                <a:t> </a:t>
              </a:fld>
              <a:endParaRPr lang="nl-NL" sz="1100">
                <a:solidFill>
                  <a:schemeClr val="tx1">
                    <a:lumMod val="65000"/>
                    <a:lumOff val="35000"/>
                  </a:schemeClr>
                </a:solidFill>
              </a:endParaRPr>
            </a:p>
          </xdr:txBody>
        </xdr:sp>
      </xdr:grpSp>
      <xdr:cxnSp macro="">
        <xdr:nvCxnSpPr>
          <xdr:cNvPr id="18" name="Rechte verbindingslijn 17">
            <a:extLst>
              <a:ext uri="{FF2B5EF4-FFF2-40B4-BE49-F238E27FC236}">
                <a16:creationId xmlns:a16="http://schemas.microsoft.com/office/drawing/2014/main" id="{9C3AA747-FCA7-885D-EA1C-01BBC67BE30C}"/>
              </a:ext>
            </a:extLst>
          </xdr:cNvPr>
          <xdr:cNvCxnSpPr/>
        </xdr:nvCxnSpPr>
        <xdr:spPr>
          <a:xfrm flipH="1">
            <a:off x="2725393" y="21962255"/>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0" name="Rechte verbindingslijn 19">
            <a:extLst>
              <a:ext uri="{FF2B5EF4-FFF2-40B4-BE49-F238E27FC236}">
                <a16:creationId xmlns:a16="http://schemas.microsoft.com/office/drawing/2014/main" id="{5CD1439F-AADC-AF1D-2FDC-F82DF0345D4E}"/>
              </a:ext>
            </a:extLst>
          </xdr:cNvPr>
          <xdr:cNvCxnSpPr/>
        </xdr:nvCxnSpPr>
        <xdr:spPr>
          <a:xfrm flipH="1">
            <a:off x="2102955" y="21985269"/>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1" name="Rechte verbindingslijn 20">
            <a:extLst>
              <a:ext uri="{FF2B5EF4-FFF2-40B4-BE49-F238E27FC236}">
                <a16:creationId xmlns:a16="http://schemas.microsoft.com/office/drawing/2014/main" id="{CCB84A76-86FE-2CDF-BC47-C9B9A682D190}"/>
              </a:ext>
            </a:extLst>
          </xdr:cNvPr>
          <xdr:cNvCxnSpPr/>
        </xdr:nvCxnSpPr>
        <xdr:spPr>
          <a:xfrm flipH="1">
            <a:off x="3354043" y="21981305"/>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3" name="Rechte verbindingslijn 22">
            <a:extLst>
              <a:ext uri="{FF2B5EF4-FFF2-40B4-BE49-F238E27FC236}">
                <a16:creationId xmlns:a16="http://schemas.microsoft.com/office/drawing/2014/main" id="{7550D8B9-7484-E3CB-B868-C8BDF7F70957}"/>
              </a:ext>
            </a:extLst>
          </xdr:cNvPr>
          <xdr:cNvCxnSpPr/>
        </xdr:nvCxnSpPr>
        <xdr:spPr>
          <a:xfrm flipH="1">
            <a:off x="9168799" y="21960599"/>
            <a:ext cx="9525"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5" name="Rechte verbindingslijn 24">
            <a:extLst>
              <a:ext uri="{FF2B5EF4-FFF2-40B4-BE49-F238E27FC236}">
                <a16:creationId xmlns:a16="http://schemas.microsoft.com/office/drawing/2014/main" id="{32AD1414-6563-6DA1-4630-39025623229A}"/>
              </a:ext>
            </a:extLst>
          </xdr:cNvPr>
          <xdr:cNvCxnSpPr/>
        </xdr:nvCxnSpPr>
        <xdr:spPr>
          <a:xfrm flipH="1">
            <a:off x="8546361" y="21983613"/>
            <a:ext cx="0" cy="30481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xnSp macro="">
        <xdr:nvCxnSpPr>
          <xdr:cNvPr id="27" name="Rechte verbindingslijn 26">
            <a:extLst>
              <a:ext uri="{FF2B5EF4-FFF2-40B4-BE49-F238E27FC236}">
                <a16:creationId xmlns:a16="http://schemas.microsoft.com/office/drawing/2014/main" id="{197756F3-FD3D-46A9-20B9-D99305A555E7}"/>
              </a:ext>
            </a:extLst>
          </xdr:cNvPr>
          <xdr:cNvCxnSpPr/>
        </xdr:nvCxnSpPr>
        <xdr:spPr>
          <a:xfrm flipH="1">
            <a:off x="11701621" y="21979649"/>
            <a:ext cx="0" cy="3052374"/>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xdr:col>
      <xdr:colOff>337925</xdr:colOff>
      <xdr:row>227</xdr:row>
      <xdr:rowOff>184082</xdr:rowOff>
    </xdr:from>
    <xdr:ext cx="565288" cy="565288"/>
    <xdr:pic>
      <xdr:nvPicPr>
        <xdr:cNvPr id="213" name="Afbeelding 36" descr="Badge 3 silhouet">
          <a:extLst>
            <a:ext uri="{FF2B5EF4-FFF2-40B4-BE49-F238E27FC236}">
              <a16:creationId xmlns:a16="http://schemas.microsoft.com/office/drawing/2014/main" id="{172BA341-1D67-449C-851E-882E66ADAB6D}"/>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rcRect/>
        <a:stretch/>
      </xdr:blipFill>
      <xdr:spPr bwMode="auto">
        <a:xfrm>
          <a:off x="611251" y="30498430"/>
          <a:ext cx="565288" cy="5652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438150</xdr:colOff>
      <xdr:row>215</xdr:row>
      <xdr:rowOff>85725</xdr:rowOff>
    </xdr:from>
    <xdr:to>
      <xdr:col>19</xdr:col>
      <xdr:colOff>657225</xdr:colOff>
      <xdr:row>218</xdr:row>
      <xdr:rowOff>76200</xdr:rowOff>
    </xdr:to>
    <xdr:sp macro="" textlink="">
      <xdr:nvSpPr>
        <xdr:cNvPr id="214" name="Rechthoek 213">
          <a:extLst>
            <a:ext uri="{FF2B5EF4-FFF2-40B4-BE49-F238E27FC236}">
              <a16:creationId xmlns:a16="http://schemas.microsoft.com/office/drawing/2014/main" id="{ED380F3C-FE45-46C7-A08A-A92EBAA37748}"/>
            </a:ext>
          </a:extLst>
        </xdr:cNvPr>
        <xdr:cNvSpPr/>
      </xdr:nvSpPr>
      <xdr:spPr>
        <a:xfrm>
          <a:off x="1324389" y="18936942"/>
          <a:ext cx="10845662"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l-NL" sz="1600">
              <a:solidFill>
                <a:schemeClr val="bg1"/>
              </a:solidFill>
              <a:latin typeface="Muli Light" panose="00000400000000000000" pitchFamily="2" charset="0"/>
            </a:rPr>
            <a:t>Hieronder vind je een aantal voorbeelden van wat er met je inkomen gebeurt als je arbeidsongeschikt wordt. </a:t>
          </a:r>
        </a:p>
      </xdr:txBody>
    </xdr:sp>
    <xdr:clientData/>
  </xdr:twoCellAnchor>
  <xdr:twoCellAnchor>
    <xdr:from>
      <xdr:col>12</xdr:col>
      <xdr:colOff>580040</xdr:colOff>
      <xdr:row>221</xdr:row>
      <xdr:rowOff>51352</xdr:rowOff>
    </xdr:from>
    <xdr:to>
      <xdr:col>14</xdr:col>
      <xdr:colOff>475827</xdr:colOff>
      <xdr:row>226</xdr:row>
      <xdr:rowOff>79927</xdr:rowOff>
    </xdr:to>
    <xdr:grpSp>
      <xdr:nvGrpSpPr>
        <xdr:cNvPr id="215" name="Groep 214">
          <a:extLst>
            <a:ext uri="{FF2B5EF4-FFF2-40B4-BE49-F238E27FC236}">
              <a16:creationId xmlns:a16="http://schemas.microsoft.com/office/drawing/2014/main" id="{CB6F0DC7-062D-46C6-9B8A-73D9AF368FFE}"/>
            </a:ext>
          </a:extLst>
        </xdr:cNvPr>
        <xdr:cNvGrpSpPr/>
      </xdr:nvGrpSpPr>
      <xdr:grpSpPr>
        <a:xfrm>
          <a:off x="8104790" y="19368052"/>
          <a:ext cx="1172137" cy="838200"/>
          <a:chOff x="3664079" y="20802600"/>
          <a:chExt cx="1571357" cy="1133886"/>
        </a:xfrm>
      </xdr:grpSpPr>
      <xdr:sp macro="" textlink="">
        <xdr:nvSpPr>
          <xdr:cNvPr id="216" name="Ovaal 215">
            <a:extLst>
              <a:ext uri="{FF2B5EF4-FFF2-40B4-BE49-F238E27FC236}">
                <a16:creationId xmlns:a16="http://schemas.microsoft.com/office/drawing/2014/main" id="{78233E75-B6B3-1449-A326-A4BB0ABF6C92}"/>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G$114">
        <xdr:nvSpPr>
          <xdr:cNvPr id="217" name="Ovaal 216">
            <a:extLst>
              <a:ext uri="{FF2B5EF4-FFF2-40B4-BE49-F238E27FC236}">
                <a16:creationId xmlns:a16="http://schemas.microsoft.com/office/drawing/2014/main" id="{3956CF6A-8260-BF4E-4A34-C9FDE6620563}"/>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CAF69384-92B9-46BD-8F7B-B67F869F126E}" type="TxLink">
              <a:rPr lang="en-US" sz="1000" b="0" i="0" u="none" strike="noStrike">
                <a:solidFill>
                  <a:srgbClr val="000000"/>
                </a:solidFill>
                <a:latin typeface="Muli Light"/>
              </a:rPr>
              <a:pPr algn="ctr"/>
              <a:t>€ 302,40 bruto per jaar</a:t>
            </a:fld>
            <a:endParaRPr lang="nl-NL" sz="1100"/>
          </a:p>
        </xdr:txBody>
      </xdr:sp>
    </xdr:grpSp>
    <xdr:clientData/>
  </xdr:twoCellAnchor>
  <xdr:twoCellAnchor>
    <xdr:from>
      <xdr:col>2</xdr:col>
      <xdr:colOff>376025</xdr:colOff>
      <xdr:row>227</xdr:row>
      <xdr:rowOff>82826</xdr:rowOff>
    </xdr:from>
    <xdr:to>
      <xdr:col>10</xdr:col>
      <xdr:colOff>289890</xdr:colOff>
      <xdr:row>231</xdr:row>
      <xdr:rowOff>132521</xdr:rowOff>
    </xdr:to>
    <xdr:sp macro="" textlink="Grafiekblad!B46">
      <xdr:nvSpPr>
        <xdr:cNvPr id="218" name="Rechthoek 217">
          <a:extLst>
            <a:ext uri="{FF2B5EF4-FFF2-40B4-BE49-F238E27FC236}">
              <a16:creationId xmlns:a16="http://schemas.microsoft.com/office/drawing/2014/main" id="{797ABE2C-783E-4590-89C4-5A2CEAA62BE3}"/>
            </a:ext>
          </a:extLst>
        </xdr:cNvPr>
        <xdr:cNvSpPr/>
      </xdr:nvSpPr>
      <xdr:spPr>
        <a:xfrm>
          <a:off x="1262264" y="20698239"/>
          <a:ext cx="5024235" cy="8116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98D7A203-5894-4640-BE4B-D1A079622222}" type="TxLink">
            <a:rPr lang="en-US" sz="1200" b="1" i="0" u="none" strike="noStrike">
              <a:solidFill>
                <a:srgbClr val="00519D"/>
              </a:solidFill>
              <a:latin typeface="Muli Light" panose="00000400000000000000" pitchFamily="2" charset="0"/>
              <a:ea typeface="+mn-ea"/>
              <a:cs typeface="Segoe UI"/>
            </a:rPr>
            <a:pPr marL="0" indent="0" algn="l"/>
            <a:t>Stel, je wordt volledig maar niet duurzaam arbeidsongeschikt bevonden (80%-100%). </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2</xdr:col>
      <xdr:colOff>215329</xdr:colOff>
      <xdr:row>233</xdr:row>
      <xdr:rowOff>39342</xdr:rowOff>
    </xdr:from>
    <xdr:to>
      <xdr:col>10</xdr:col>
      <xdr:colOff>145341</xdr:colOff>
      <xdr:row>238</xdr:row>
      <xdr:rowOff>125067</xdr:rowOff>
    </xdr:to>
    <xdr:sp macro="" textlink="Grafiekblad!B47">
      <xdr:nvSpPr>
        <xdr:cNvPr id="219" name="Rechthoek 218">
          <a:extLst>
            <a:ext uri="{FF2B5EF4-FFF2-40B4-BE49-F238E27FC236}">
              <a16:creationId xmlns:a16="http://schemas.microsoft.com/office/drawing/2014/main" id="{9237AE82-A0C2-465C-8742-03A25B2B51D3}"/>
            </a:ext>
          </a:extLst>
        </xdr:cNvPr>
        <xdr:cNvSpPr/>
      </xdr:nvSpPr>
      <xdr:spPr>
        <a:xfrm>
          <a:off x="1101568" y="21772907"/>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D090A378-07A2-4D00-8345-DB842ABEE898}"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In dit geval hoeft de WGA Hiaatverzekering niet uit te keren, omdat je vanuit de WIA al 70% van je oude loon ontvangt.</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twoCellAnchor>
    <xdr:from>
      <xdr:col>3</xdr:col>
      <xdr:colOff>9525</xdr:colOff>
      <xdr:row>265</xdr:row>
      <xdr:rowOff>114300</xdr:rowOff>
    </xdr:from>
    <xdr:to>
      <xdr:col>3</xdr:col>
      <xdr:colOff>228600</xdr:colOff>
      <xdr:row>266</xdr:row>
      <xdr:rowOff>133350</xdr:rowOff>
    </xdr:to>
    <xdr:sp macro="" textlink="">
      <xdr:nvSpPr>
        <xdr:cNvPr id="220" name="Rechthoek 219">
          <a:extLst>
            <a:ext uri="{FF2B5EF4-FFF2-40B4-BE49-F238E27FC236}">
              <a16:creationId xmlns:a16="http://schemas.microsoft.com/office/drawing/2014/main" id="{407C8450-1527-4DDD-9021-874D947EAEAE}"/>
            </a:ext>
          </a:extLst>
        </xdr:cNvPr>
        <xdr:cNvSpPr/>
      </xdr:nvSpPr>
      <xdr:spPr>
        <a:xfrm>
          <a:off x="1508677" y="27148735"/>
          <a:ext cx="219075" cy="184702"/>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265</xdr:row>
      <xdr:rowOff>114300</xdr:rowOff>
    </xdr:from>
    <xdr:to>
      <xdr:col>6</xdr:col>
      <xdr:colOff>226267</xdr:colOff>
      <xdr:row>266</xdr:row>
      <xdr:rowOff>133350</xdr:rowOff>
    </xdr:to>
    <xdr:sp macro="" textlink="Grafiekblad!L50">
      <xdr:nvSpPr>
        <xdr:cNvPr id="221" name="Rechthoek 220">
          <a:extLst>
            <a:ext uri="{FF2B5EF4-FFF2-40B4-BE49-F238E27FC236}">
              <a16:creationId xmlns:a16="http://schemas.microsoft.com/office/drawing/2014/main" id="{8F893920-DE5A-4E13-88AC-35F7C924A026}"/>
            </a:ext>
          </a:extLst>
        </xdr:cNvPr>
        <xdr:cNvSpPr/>
      </xdr:nvSpPr>
      <xdr:spPr>
        <a:xfrm>
          <a:off x="1758660" y="27148735"/>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AF381383-FA9B-4A6F-9863-558E14683D52}"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266</xdr:row>
      <xdr:rowOff>152400</xdr:rowOff>
    </xdr:from>
    <xdr:to>
      <xdr:col>3</xdr:col>
      <xdr:colOff>228600</xdr:colOff>
      <xdr:row>268</xdr:row>
      <xdr:rowOff>9525</xdr:rowOff>
    </xdr:to>
    <xdr:sp macro="" textlink="">
      <xdr:nvSpPr>
        <xdr:cNvPr id="224" name="Rechthoek 223">
          <a:extLst>
            <a:ext uri="{FF2B5EF4-FFF2-40B4-BE49-F238E27FC236}">
              <a16:creationId xmlns:a16="http://schemas.microsoft.com/office/drawing/2014/main" id="{2C58E999-0C82-4CB2-9448-E8F335673A6C}"/>
            </a:ext>
          </a:extLst>
        </xdr:cNvPr>
        <xdr:cNvSpPr/>
      </xdr:nvSpPr>
      <xdr:spPr>
        <a:xfrm>
          <a:off x="1504950" y="36585525"/>
          <a:ext cx="219075" cy="180975"/>
        </a:xfrm>
        <a:prstGeom prst="rect">
          <a:avLst/>
        </a:prstGeom>
        <a:pattFill prst="pct20">
          <a:fgClr>
            <a:srgbClr val="595959"/>
          </a:fgClr>
          <a:bgClr>
            <a:schemeClr val="bg1"/>
          </a:bgClr>
        </a:patt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266</xdr:row>
      <xdr:rowOff>152400</xdr:rowOff>
    </xdr:from>
    <xdr:to>
      <xdr:col>6</xdr:col>
      <xdr:colOff>226267</xdr:colOff>
      <xdr:row>268</xdr:row>
      <xdr:rowOff>9525</xdr:rowOff>
    </xdr:to>
    <xdr:sp macro="" textlink="Grafiekblad!M50">
      <xdr:nvSpPr>
        <xdr:cNvPr id="225" name="Rechthoek 224">
          <a:extLst>
            <a:ext uri="{FF2B5EF4-FFF2-40B4-BE49-F238E27FC236}">
              <a16:creationId xmlns:a16="http://schemas.microsoft.com/office/drawing/2014/main" id="{C924596D-B427-42F5-A6E7-641C40C04632}"/>
            </a:ext>
          </a:extLst>
        </xdr:cNvPr>
        <xdr:cNvSpPr/>
      </xdr:nvSpPr>
      <xdr:spPr>
        <a:xfrm>
          <a:off x="1754933" y="36585525"/>
          <a:ext cx="1795559"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397784D-B7B7-40DE-B050-802150A4DC4D}"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265</xdr:row>
      <xdr:rowOff>114300</xdr:rowOff>
    </xdr:from>
    <xdr:to>
      <xdr:col>7</xdr:col>
      <xdr:colOff>304800</xdr:colOff>
      <xdr:row>266</xdr:row>
      <xdr:rowOff>133350</xdr:rowOff>
    </xdr:to>
    <xdr:sp macro="" textlink="">
      <xdr:nvSpPr>
        <xdr:cNvPr id="226" name="Rechthoek 225">
          <a:extLst>
            <a:ext uri="{FF2B5EF4-FFF2-40B4-BE49-F238E27FC236}">
              <a16:creationId xmlns:a16="http://schemas.microsoft.com/office/drawing/2014/main" id="{8AC27FB4-AF9C-4282-87BC-D2E57524316B}"/>
            </a:ext>
          </a:extLst>
        </xdr:cNvPr>
        <xdr:cNvSpPr/>
      </xdr:nvSpPr>
      <xdr:spPr>
        <a:xfrm>
          <a:off x="4036529" y="27148735"/>
          <a:ext cx="219075" cy="184702"/>
        </a:xfrm>
        <a:prstGeom prst="rect">
          <a:avLst/>
        </a:prstGeom>
        <a:solidFill>
          <a:srgbClr val="4FB4E7"/>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265</xdr:row>
      <xdr:rowOff>114301</xdr:rowOff>
    </xdr:from>
    <xdr:to>
      <xdr:col>11</xdr:col>
      <xdr:colOff>0</xdr:colOff>
      <xdr:row>266</xdr:row>
      <xdr:rowOff>123826</xdr:rowOff>
    </xdr:to>
    <xdr:sp macro="" textlink="Grafiekblad!P50">
      <xdr:nvSpPr>
        <xdr:cNvPr id="227" name="Rechthoek 226">
          <a:extLst>
            <a:ext uri="{FF2B5EF4-FFF2-40B4-BE49-F238E27FC236}">
              <a16:creationId xmlns:a16="http://schemas.microsoft.com/office/drawing/2014/main" id="{B3282C02-9039-485B-B22F-6C61F97E5156}"/>
            </a:ext>
          </a:extLst>
        </xdr:cNvPr>
        <xdr:cNvSpPr/>
      </xdr:nvSpPr>
      <xdr:spPr>
        <a:xfrm>
          <a:off x="4286512" y="27148736"/>
          <a:ext cx="2323010" cy="1751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57D3FBDB-28E0-4CDF-8925-C3E3548CD987}" type="TxLink">
            <a:rPr lang="en-US" sz="1000" b="0" i="0" u="none" strike="noStrike">
              <a:solidFill>
                <a:sysClr val="windowText" lastClr="000000"/>
              </a:solidFill>
              <a:latin typeface="Muli Light" panose="00000400000000000000" pitchFamily="2" charset="0"/>
              <a:cs typeface="Arial"/>
            </a:rPr>
            <a:pPr algn="l"/>
            <a:t>WGA Hiaat Uitgebreid</a:t>
          </a:fld>
          <a:endParaRPr lang="nl-NL" sz="1100">
            <a:solidFill>
              <a:sysClr val="windowText" lastClr="000000"/>
            </a:solidFill>
            <a:latin typeface="Muli Light" panose="00000400000000000000" pitchFamily="2" charset="0"/>
          </a:endParaRPr>
        </a:p>
      </xdr:txBody>
    </xdr:sp>
    <xdr:clientData/>
  </xdr:twoCellAnchor>
  <xdr:twoCellAnchor>
    <xdr:from>
      <xdr:col>7</xdr:col>
      <xdr:colOff>85725</xdr:colOff>
      <xdr:row>266</xdr:row>
      <xdr:rowOff>152400</xdr:rowOff>
    </xdr:from>
    <xdr:to>
      <xdr:col>7</xdr:col>
      <xdr:colOff>304800</xdr:colOff>
      <xdr:row>268</xdr:row>
      <xdr:rowOff>9525</xdr:rowOff>
    </xdr:to>
    <xdr:sp macro="" textlink="">
      <xdr:nvSpPr>
        <xdr:cNvPr id="228" name="Rechthoek 227">
          <a:extLst>
            <a:ext uri="{FF2B5EF4-FFF2-40B4-BE49-F238E27FC236}">
              <a16:creationId xmlns:a16="http://schemas.microsoft.com/office/drawing/2014/main" id="{3B8F55C5-E6C4-4265-BF84-102088C94D1E}"/>
            </a:ext>
          </a:extLst>
        </xdr:cNvPr>
        <xdr:cNvSpPr/>
      </xdr:nvSpPr>
      <xdr:spPr>
        <a:xfrm>
          <a:off x="4036529" y="27352487"/>
          <a:ext cx="219075" cy="188429"/>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7</xdr:col>
      <xdr:colOff>335708</xdr:colOff>
      <xdr:row>266</xdr:row>
      <xdr:rowOff>152400</xdr:rowOff>
    </xdr:from>
    <xdr:to>
      <xdr:col>10</xdr:col>
      <xdr:colOff>92917</xdr:colOff>
      <xdr:row>268</xdr:row>
      <xdr:rowOff>9525</xdr:rowOff>
    </xdr:to>
    <xdr:sp macro="" textlink="Grafiekblad!Q50">
      <xdr:nvSpPr>
        <xdr:cNvPr id="229" name="Rechthoek 228">
          <a:extLst>
            <a:ext uri="{FF2B5EF4-FFF2-40B4-BE49-F238E27FC236}">
              <a16:creationId xmlns:a16="http://schemas.microsoft.com/office/drawing/2014/main" id="{178BDB62-9DEE-46E1-8041-4404FB37A066}"/>
            </a:ext>
          </a:extLst>
        </xdr:cNvPr>
        <xdr:cNvSpPr/>
      </xdr:nvSpPr>
      <xdr:spPr>
        <a:xfrm>
          <a:off x="4286512" y="27352487"/>
          <a:ext cx="1803014" cy="188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52CDBDE-5CCF-4C8A-A537-A631AB7C00E2}"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265</xdr:row>
      <xdr:rowOff>114300</xdr:rowOff>
    </xdr:from>
    <xdr:to>
      <xdr:col>12</xdr:col>
      <xdr:colOff>228600</xdr:colOff>
      <xdr:row>266</xdr:row>
      <xdr:rowOff>133350</xdr:rowOff>
    </xdr:to>
    <xdr:sp macro="" textlink="">
      <xdr:nvSpPr>
        <xdr:cNvPr id="230" name="Rechthoek 229">
          <a:extLst>
            <a:ext uri="{FF2B5EF4-FFF2-40B4-BE49-F238E27FC236}">
              <a16:creationId xmlns:a16="http://schemas.microsoft.com/office/drawing/2014/main" id="{B1EABEFC-176A-45A0-B67F-AA7013A0CA32}"/>
            </a:ext>
          </a:extLst>
        </xdr:cNvPr>
        <xdr:cNvSpPr/>
      </xdr:nvSpPr>
      <xdr:spPr>
        <a:xfrm>
          <a:off x="7231960" y="27148735"/>
          <a:ext cx="219075" cy="184702"/>
        </a:xfrm>
        <a:prstGeom prst="rect">
          <a:avLst/>
        </a:prstGeom>
        <a:solidFill>
          <a:schemeClr val="tx1">
            <a:lumMod val="65000"/>
            <a:lumOff val="35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265</xdr:row>
      <xdr:rowOff>114300</xdr:rowOff>
    </xdr:from>
    <xdr:to>
      <xdr:col>15</xdr:col>
      <xdr:colOff>226267</xdr:colOff>
      <xdr:row>266</xdr:row>
      <xdr:rowOff>133350</xdr:rowOff>
    </xdr:to>
    <xdr:sp macro="" textlink="Grafiekblad!L71">
      <xdr:nvSpPr>
        <xdr:cNvPr id="231" name="Rechthoek 230">
          <a:extLst>
            <a:ext uri="{FF2B5EF4-FFF2-40B4-BE49-F238E27FC236}">
              <a16:creationId xmlns:a16="http://schemas.microsoft.com/office/drawing/2014/main" id="{C1132B0E-85FB-4061-B88F-9C13CDC2BC37}"/>
            </a:ext>
          </a:extLst>
        </xdr:cNvPr>
        <xdr:cNvSpPr/>
      </xdr:nvSpPr>
      <xdr:spPr>
        <a:xfrm>
          <a:off x="7481943" y="27148735"/>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C846AE88-9CAD-4E0E-A977-39400506C103}" type="TxLink">
            <a:rPr lang="en-US" sz="1000" b="0" i="0" u="none" strike="noStrike">
              <a:solidFill>
                <a:sysClr val="windowText" lastClr="000000"/>
              </a:solidFill>
              <a:latin typeface="Muli Light" panose="00000400000000000000" pitchFamily="2" charset="0"/>
              <a:cs typeface="Arial"/>
            </a:rPr>
            <a:pPr algn="l"/>
            <a:t>Loondoorbetaling bij ziekte</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266</xdr:row>
      <xdr:rowOff>152400</xdr:rowOff>
    </xdr:from>
    <xdr:to>
      <xdr:col>12</xdr:col>
      <xdr:colOff>228600</xdr:colOff>
      <xdr:row>268</xdr:row>
      <xdr:rowOff>9525</xdr:rowOff>
    </xdr:to>
    <xdr:sp macro="" textlink="">
      <xdr:nvSpPr>
        <xdr:cNvPr id="232" name="Rechthoek 231">
          <a:extLst>
            <a:ext uri="{FF2B5EF4-FFF2-40B4-BE49-F238E27FC236}">
              <a16:creationId xmlns:a16="http://schemas.microsoft.com/office/drawing/2014/main" id="{5F5E66DF-DD6B-4B44-96DC-EF0D06D5E9E0}"/>
            </a:ext>
          </a:extLst>
        </xdr:cNvPr>
        <xdr:cNvSpPr/>
      </xdr:nvSpPr>
      <xdr:spPr>
        <a:xfrm>
          <a:off x="7231960" y="27352487"/>
          <a:ext cx="219075" cy="188429"/>
        </a:xfrm>
        <a:prstGeom prst="rect">
          <a:avLst/>
        </a:prstGeom>
        <a:pattFill prst="pct20">
          <a:fgClr>
            <a:srgbClr val="595959"/>
          </a:fgClr>
          <a:bgClr>
            <a:schemeClr val="bg1"/>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266</xdr:row>
      <xdr:rowOff>152400</xdr:rowOff>
    </xdr:from>
    <xdr:to>
      <xdr:col>15</xdr:col>
      <xdr:colOff>226267</xdr:colOff>
      <xdr:row>268</xdr:row>
      <xdr:rowOff>9525</xdr:rowOff>
    </xdr:to>
    <xdr:sp macro="" textlink="Grafiekblad!M71">
      <xdr:nvSpPr>
        <xdr:cNvPr id="233" name="Rechthoek 232">
          <a:extLst>
            <a:ext uri="{FF2B5EF4-FFF2-40B4-BE49-F238E27FC236}">
              <a16:creationId xmlns:a16="http://schemas.microsoft.com/office/drawing/2014/main" id="{E1E1E89F-E4EE-4469-BC6C-AE42EBB7CAB3}"/>
            </a:ext>
          </a:extLst>
        </xdr:cNvPr>
        <xdr:cNvSpPr/>
      </xdr:nvSpPr>
      <xdr:spPr>
        <a:xfrm>
          <a:off x="7481943" y="27352487"/>
          <a:ext cx="1805498" cy="1884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4616B512-D462-48BF-A6D3-A39A1EBA36E0}" type="TxLink">
            <a:rPr lang="en-US" sz="1000" b="0" i="0" u="none" strike="noStrike">
              <a:solidFill>
                <a:sysClr val="windowText" lastClr="000000"/>
              </a:solidFill>
              <a:latin typeface="Muli Light" panose="00000400000000000000" pitchFamily="2" charset="0"/>
              <a:cs typeface="Arial"/>
            </a:rPr>
            <a:pPr algn="l"/>
            <a:t>CAO-aanvulling*</a:t>
          </a:fld>
          <a:endParaRPr lang="nl-NL" sz="1100">
            <a:solidFill>
              <a:sysClr val="windowText" lastClr="000000"/>
            </a:solidFill>
            <a:latin typeface="Muli Light" panose="00000400000000000000" pitchFamily="2" charset="0"/>
          </a:endParaRPr>
        </a:p>
      </xdr:txBody>
    </xdr:sp>
    <xdr:clientData/>
  </xdr:twoCellAnchor>
  <xdr:twoCellAnchor>
    <xdr:from>
      <xdr:col>12</xdr:col>
      <xdr:colOff>9525</xdr:colOff>
      <xdr:row>268</xdr:row>
      <xdr:rowOff>28575</xdr:rowOff>
    </xdr:from>
    <xdr:to>
      <xdr:col>12</xdr:col>
      <xdr:colOff>228600</xdr:colOff>
      <xdr:row>269</xdr:row>
      <xdr:rowOff>47625</xdr:rowOff>
    </xdr:to>
    <xdr:sp macro="" textlink="">
      <xdr:nvSpPr>
        <xdr:cNvPr id="234" name="Rechthoek 233">
          <a:extLst>
            <a:ext uri="{FF2B5EF4-FFF2-40B4-BE49-F238E27FC236}">
              <a16:creationId xmlns:a16="http://schemas.microsoft.com/office/drawing/2014/main" id="{DF956C13-CE0E-419F-9609-6FF27FADF145}"/>
            </a:ext>
          </a:extLst>
        </xdr:cNvPr>
        <xdr:cNvSpPr/>
      </xdr:nvSpPr>
      <xdr:spPr>
        <a:xfrm>
          <a:off x="7231960" y="27559966"/>
          <a:ext cx="219075" cy="184702"/>
        </a:xfrm>
        <a:prstGeom prst="rect">
          <a:avLst/>
        </a:prstGeom>
        <a:solidFill>
          <a:srgbClr val="DDDDD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12</xdr:col>
      <xdr:colOff>259508</xdr:colOff>
      <xdr:row>268</xdr:row>
      <xdr:rowOff>28575</xdr:rowOff>
    </xdr:from>
    <xdr:to>
      <xdr:col>15</xdr:col>
      <xdr:colOff>226267</xdr:colOff>
      <xdr:row>269</xdr:row>
      <xdr:rowOff>47625</xdr:rowOff>
    </xdr:to>
    <xdr:sp macro="" textlink="Grafiekblad!N71">
      <xdr:nvSpPr>
        <xdr:cNvPr id="235" name="Rechthoek 234">
          <a:extLst>
            <a:ext uri="{FF2B5EF4-FFF2-40B4-BE49-F238E27FC236}">
              <a16:creationId xmlns:a16="http://schemas.microsoft.com/office/drawing/2014/main" id="{266BF427-3B66-4A7A-988E-85A32654065A}"/>
            </a:ext>
          </a:extLst>
        </xdr:cNvPr>
        <xdr:cNvSpPr/>
      </xdr:nvSpPr>
      <xdr:spPr>
        <a:xfrm>
          <a:off x="7481943" y="27559966"/>
          <a:ext cx="1805498" cy="1847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2A96A42-B62D-4CAF-B240-4082E9FCF218}" type="TxLink">
            <a:rPr lang="en-US" sz="1000" b="0" i="0" u="none" strike="noStrike">
              <a:solidFill>
                <a:sysClr val="windowText" lastClr="000000"/>
              </a:solidFill>
              <a:latin typeface="Muli Light" panose="00000400000000000000" pitchFamily="2" charset="0"/>
              <a:cs typeface="Arial"/>
            </a:rPr>
            <a:pPr algn="l"/>
            <a:t>Nieuw loon</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265</xdr:row>
      <xdr:rowOff>114300</xdr:rowOff>
    </xdr:from>
    <xdr:to>
      <xdr:col>16</xdr:col>
      <xdr:colOff>304800</xdr:colOff>
      <xdr:row>266</xdr:row>
      <xdr:rowOff>133350</xdr:rowOff>
    </xdr:to>
    <xdr:sp macro="" textlink="">
      <xdr:nvSpPr>
        <xdr:cNvPr id="236" name="Rechthoek 235">
          <a:extLst>
            <a:ext uri="{FF2B5EF4-FFF2-40B4-BE49-F238E27FC236}">
              <a16:creationId xmlns:a16="http://schemas.microsoft.com/office/drawing/2014/main" id="{892BCDF1-2DA4-4206-B046-AF7373E3F950}"/>
            </a:ext>
          </a:extLst>
        </xdr:cNvPr>
        <xdr:cNvSpPr/>
      </xdr:nvSpPr>
      <xdr:spPr>
        <a:xfrm>
          <a:off x="9759812" y="27148735"/>
          <a:ext cx="219075" cy="184702"/>
        </a:xfrm>
        <a:prstGeom prst="rect">
          <a:avLst/>
        </a:prstGeom>
        <a:solidFill>
          <a:srgbClr val="78BE2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265</xdr:row>
      <xdr:rowOff>104775</xdr:rowOff>
    </xdr:from>
    <xdr:to>
      <xdr:col>19</xdr:col>
      <xdr:colOff>809625</xdr:colOff>
      <xdr:row>266</xdr:row>
      <xdr:rowOff>152400</xdr:rowOff>
    </xdr:to>
    <xdr:sp macro="" textlink="Grafiekblad!P71">
      <xdr:nvSpPr>
        <xdr:cNvPr id="237" name="Rechthoek 236">
          <a:extLst>
            <a:ext uri="{FF2B5EF4-FFF2-40B4-BE49-F238E27FC236}">
              <a16:creationId xmlns:a16="http://schemas.microsoft.com/office/drawing/2014/main" id="{F67CC1D2-A49A-43B9-9149-B34D7C45541A}"/>
            </a:ext>
          </a:extLst>
        </xdr:cNvPr>
        <xdr:cNvSpPr/>
      </xdr:nvSpPr>
      <xdr:spPr>
        <a:xfrm>
          <a:off x="10009795" y="27139210"/>
          <a:ext cx="2312656" cy="2132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0F572DE-53DA-48F2-9F84-9FF31A92ACAA}" type="TxLink">
            <a:rPr lang="en-US" sz="1000" b="0" i="0" u="none" strike="noStrike">
              <a:solidFill>
                <a:sysClr val="windowText" lastClr="000000"/>
              </a:solidFill>
              <a:latin typeface="Muli Light" panose="00000400000000000000" pitchFamily="2" charset="0"/>
              <a:cs typeface="Arial"/>
            </a:rPr>
            <a:pPr algn="l"/>
            <a:t>WIA Bodem</a:t>
          </a:fld>
          <a:endParaRPr lang="nl-NL" sz="1100">
            <a:solidFill>
              <a:sysClr val="windowText" lastClr="000000"/>
            </a:solidFill>
            <a:latin typeface="Muli Light" panose="00000400000000000000" pitchFamily="2" charset="0"/>
          </a:endParaRPr>
        </a:p>
      </xdr:txBody>
    </xdr:sp>
    <xdr:clientData/>
  </xdr:twoCellAnchor>
  <xdr:oneCellAnchor>
    <xdr:from>
      <xdr:col>11</xdr:col>
      <xdr:colOff>243934</xdr:colOff>
      <xdr:row>227</xdr:row>
      <xdr:rowOff>178250</xdr:rowOff>
    </xdr:from>
    <xdr:ext cx="565200" cy="565200"/>
    <xdr:pic>
      <xdr:nvPicPr>
        <xdr:cNvPr id="241" name="Afbeelding 36" descr="Badge 4 silhouet">
          <a:extLst>
            <a:ext uri="{FF2B5EF4-FFF2-40B4-BE49-F238E27FC236}">
              <a16:creationId xmlns:a16="http://schemas.microsoft.com/office/drawing/2014/main" id="{7334FB07-E5F4-4D5E-8665-6998657FAD64}"/>
            </a:ext>
          </a:extLst>
        </xdr:cNvPr>
        <xdr:cNvPicPr>
          <a:picLocks noChangeArrowheads="1"/>
        </xdr:cNvPicPr>
      </xdr:nvPicPr>
      <xdr:blipFill>
        <a:blip xmlns:r="http://schemas.openxmlformats.org/officeDocument/2006/relationships" r:embed="rId15">
          <a:extLst>
            <a:ext uri="{28A0092B-C50C-407E-A947-70E740481C1C}">
              <a14:useLocalDpi xmlns:a14="http://schemas.microsoft.com/office/drawing/2010/main" val="0"/>
            </a:ext>
            <a:ext uri="{96DAC541-7B7A-43D3-8B79-37D633B846F1}">
              <asvg:svgBlip xmlns:asvg="http://schemas.microsoft.com/office/drawing/2016/SVG/main" r:embed="rId16"/>
            </a:ext>
          </a:extLst>
        </a:blip>
        <a:srcRect/>
        <a:stretch/>
      </xdr:blipFill>
      <xdr:spPr bwMode="auto">
        <a:xfrm>
          <a:off x="7130509" y="21180875"/>
          <a:ext cx="565200" cy="565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274754</xdr:colOff>
      <xdr:row>227</xdr:row>
      <xdr:rowOff>33130</xdr:rowOff>
    </xdr:from>
    <xdr:to>
      <xdr:col>20</xdr:col>
      <xdr:colOff>538369</xdr:colOff>
      <xdr:row>231</xdr:row>
      <xdr:rowOff>149087</xdr:rowOff>
    </xdr:to>
    <xdr:sp macro="" textlink="Grafiekblad!B67">
      <xdr:nvSpPr>
        <xdr:cNvPr id="242" name="Rechthoek 241">
          <a:extLst>
            <a:ext uri="{FF2B5EF4-FFF2-40B4-BE49-F238E27FC236}">
              <a16:creationId xmlns:a16="http://schemas.microsoft.com/office/drawing/2014/main" id="{20C8F674-A58E-4A68-8924-97A0529C661E}"/>
            </a:ext>
          </a:extLst>
        </xdr:cNvPr>
        <xdr:cNvSpPr/>
      </xdr:nvSpPr>
      <xdr:spPr>
        <a:xfrm>
          <a:off x="7497189" y="30347478"/>
          <a:ext cx="5498223" cy="87795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marL="0" indent="0" algn="l"/>
          <a:fld id="{DF1C5768-6B3D-4035-8CD4-DFDE7F8455DD}" type="TxLink">
            <a:rPr lang="en-US" sz="1200" b="1" i="0" u="none" strike="noStrike">
              <a:solidFill>
                <a:srgbClr val="00519D"/>
              </a:solidFill>
              <a:latin typeface="Muli Light" panose="00000400000000000000" pitchFamily="2" charset="0"/>
              <a:ea typeface="+mn-ea"/>
              <a:cs typeface="Segoe UI"/>
            </a:rPr>
            <a:pPr marL="0" indent="0" algn="l"/>
            <a:t>Stel, je wordt voor minder dan 35% (in dit voorbeeld 25%) arbeidsongeschikt bevonden en hebt daardoor geen recht op een WIA uitkering. Gelukkig vind je nog een baan waarmee je nog 50% weet te verdienen van je restverdiencapaciteit.</a:t>
          </a:fld>
          <a:endParaRPr lang="nl-NL" sz="1200" b="1" i="0" u="none" strike="noStrike">
            <a:solidFill>
              <a:srgbClr val="00519D"/>
            </a:solidFill>
            <a:latin typeface="Muli Light" panose="00000400000000000000" pitchFamily="2" charset="0"/>
            <a:ea typeface="+mn-ea"/>
            <a:cs typeface="Segoe UI"/>
          </a:endParaRPr>
        </a:p>
      </xdr:txBody>
    </xdr:sp>
    <xdr:clientData/>
  </xdr:twoCellAnchor>
  <xdr:twoCellAnchor>
    <xdr:from>
      <xdr:col>12</xdr:col>
      <xdr:colOff>0</xdr:colOff>
      <xdr:row>233</xdr:row>
      <xdr:rowOff>8285</xdr:rowOff>
    </xdr:from>
    <xdr:to>
      <xdr:col>19</xdr:col>
      <xdr:colOff>749991</xdr:colOff>
      <xdr:row>238</xdr:row>
      <xdr:rowOff>94010</xdr:rowOff>
    </xdr:to>
    <xdr:sp macro="" textlink="Grafiekblad!B68">
      <xdr:nvSpPr>
        <xdr:cNvPr id="243" name="Rechthoek 242">
          <a:extLst>
            <a:ext uri="{FF2B5EF4-FFF2-40B4-BE49-F238E27FC236}">
              <a16:creationId xmlns:a16="http://schemas.microsoft.com/office/drawing/2014/main" id="{7C7ECBF6-0C97-42AC-834C-9F25F7374854}"/>
            </a:ext>
          </a:extLst>
        </xdr:cNvPr>
        <xdr:cNvSpPr/>
      </xdr:nvSpPr>
      <xdr:spPr>
        <a:xfrm>
          <a:off x="7222435" y="21741850"/>
          <a:ext cx="5040382" cy="9139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fld id="{B99979B0-FF28-44AC-9C51-6217A1553C9D}" type="TxLink">
            <a:rPr lang="en-US" sz="1200" b="0" i="0" u="none" strike="noStrike">
              <a:solidFill>
                <a:schemeClr val="tx1">
                  <a:lumMod val="75000"/>
                  <a:lumOff val="25000"/>
                </a:schemeClr>
              </a:solidFill>
              <a:latin typeface="Muli Light" panose="00000400000000000000" pitchFamily="2" charset="0"/>
              <a:ea typeface="+mn-ea"/>
              <a:cs typeface="Segoe UI"/>
            </a:rPr>
            <a:pPr marL="0" indent="0" algn="l"/>
            <a:t>De aanvullende verzekeringen van Renewi vullen je inkomen aan tot 63% van je oude loon. Zonder deze verzekering kom je uit op 38% van je oude loon</a:t>
          </a:fld>
          <a:endParaRPr lang="nl-NL" sz="1200" b="0" i="0" u="none" strike="noStrike">
            <a:solidFill>
              <a:schemeClr val="tx1">
                <a:lumMod val="75000"/>
                <a:lumOff val="25000"/>
              </a:schemeClr>
            </a:solidFill>
            <a:latin typeface="Muli Light" panose="00000400000000000000" pitchFamily="2" charset="0"/>
            <a:ea typeface="+mn-ea"/>
            <a:cs typeface="Segoe UI"/>
          </a:endParaRPr>
        </a:p>
      </xdr:txBody>
    </xdr:sp>
    <xdr:clientData/>
  </xdr:twoCellAnchor>
  <xdr:oneCellAnchor>
    <xdr:from>
      <xdr:col>1</xdr:col>
      <xdr:colOff>422413</xdr:colOff>
      <xdr:row>221</xdr:row>
      <xdr:rowOff>149087</xdr:rowOff>
    </xdr:from>
    <xdr:ext cx="1092476" cy="681658"/>
    <xdr:pic>
      <xdr:nvPicPr>
        <xdr:cNvPr id="244" name="Graphic 243">
          <a:extLst>
            <a:ext uri="{FF2B5EF4-FFF2-40B4-BE49-F238E27FC236}">
              <a16:creationId xmlns:a16="http://schemas.microsoft.com/office/drawing/2014/main" id="{0DEB58D4-5485-49A6-AF94-58257185601A}"/>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95739" y="19762304"/>
          <a:ext cx="1092476" cy="681658"/>
        </a:xfrm>
        <a:prstGeom prst="rect">
          <a:avLst/>
        </a:prstGeom>
      </xdr:spPr>
    </xdr:pic>
    <xdr:clientData/>
  </xdr:oneCellAnchor>
  <xdr:oneCellAnchor>
    <xdr:from>
      <xdr:col>9</xdr:col>
      <xdr:colOff>33139</xdr:colOff>
      <xdr:row>221</xdr:row>
      <xdr:rowOff>66261</xdr:rowOff>
    </xdr:from>
    <xdr:ext cx="2153064" cy="828260"/>
    <xdr:pic>
      <xdr:nvPicPr>
        <xdr:cNvPr id="245" name="Afbeelding 244" descr="Nationale-Nederlanden | Onze support heb je : NN">
          <a:extLst>
            <a:ext uri="{FF2B5EF4-FFF2-40B4-BE49-F238E27FC236}">
              <a16:creationId xmlns:a16="http://schemas.microsoft.com/office/drawing/2014/main" id="{DA07B2E9-680F-4FF9-A3A0-5B1E5BDD0482}"/>
            </a:ext>
          </a:extLst>
        </xdr:cNvPr>
        <xdr:cNvPicPr>
          <a:picLocks noChangeAspect="1" noChangeArrowheads="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t="30630" b="31556"/>
        <a:stretch/>
      </xdr:blipFill>
      <xdr:spPr bwMode="auto">
        <a:xfrm>
          <a:off x="5416835" y="19679478"/>
          <a:ext cx="2153064" cy="82826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16</xdr:col>
      <xdr:colOff>215357</xdr:colOff>
      <xdr:row>221</xdr:row>
      <xdr:rowOff>74547</xdr:rowOff>
    </xdr:from>
    <xdr:to>
      <xdr:col>18</xdr:col>
      <xdr:colOff>111144</xdr:colOff>
      <xdr:row>226</xdr:row>
      <xdr:rowOff>103122</xdr:rowOff>
    </xdr:to>
    <xdr:grpSp>
      <xdr:nvGrpSpPr>
        <xdr:cNvPr id="246" name="Groep 245">
          <a:extLst>
            <a:ext uri="{FF2B5EF4-FFF2-40B4-BE49-F238E27FC236}">
              <a16:creationId xmlns:a16="http://schemas.microsoft.com/office/drawing/2014/main" id="{27CD191F-9571-409B-BFE5-046F22A636BC}"/>
            </a:ext>
          </a:extLst>
        </xdr:cNvPr>
        <xdr:cNvGrpSpPr/>
      </xdr:nvGrpSpPr>
      <xdr:grpSpPr>
        <a:xfrm>
          <a:off x="10292807" y="19391247"/>
          <a:ext cx="1172137" cy="838200"/>
          <a:chOff x="3664079" y="20802600"/>
          <a:chExt cx="1571357" cy="1133886"/>
        </a:xfrm>
      </xdr:grpSpPr>
      <xdr:sp macro="" textlink="">
        <xdr:nvSpPr>
          <xdr:cNvPr id="247" name="Ovaal 246">
            <a:extLst>
              <a:ext uri="{FF2B5EF4-FFF2-40B4-BE49-F238E27FC236}">
                <a16:creationId xmlns:a16="http://schemas.microsoft.com/office/drawing/2014/main" id="{8693AD7A-5324-22F3-BDF4-23DAD8E9D941}"/>
              </a:ext>
            </a:extLst>
          </xdr:cNvPr>
          <xdr:cNvSpPr/>
        </xdr:nvSpPr>
        <xdr:spPr>
          <a:xfrm>
            <a:off x="4706179" y="20802600"/>
            <a:ext cx="529257" cy="553097"/>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nl-NL" sz="2000" b="1">
                <a:latin typeface="Muli Light" panose="00000400000000000000" pitchFamily="2" charset="0"/>
              </a:rPr>
              <a:t>€</a:t>
            </a:r>
          </a:p>
        </xdr:txBody>
      </xdr:sp>
      <xdr:sp macro="" textlink="$M$114">
        <xdr:nvSpPr>
          <xdr:cNvPr id="248" name="Ovaal 247">
            <a:extLst>
              <a:ext uri="{FF2B5EF4-FFF2-40B4-BE49-F238E27FC236}">
                <a16:creationId xmlns:a16="http://schemas.microsoft.com/office/drawing/2014/main" id="{A48BBFB5-7499-F5B8-8695-1F8234DD1237}"/>
              </a:ext>
            </a:extLst>
          </xdr:cNvPr>
          <xdr:cNvSpPr/>
        </xdr:nvSpPr>
        <xdr:spPr>
          <a:xfrm>
            <a:off x="3664079" y="20812125"/>
            <a:ext cx="1240882" cy="1124361"/>
          </a:xfrm>
          <a:prstGeom prst="ellipse">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fld id="{865CF343-FC43-448E-8EF5-DB5AE35A33BB}" type="TxLink">
              <a:rPr lang="en-US" sz="1000" b="0" i="0" u="none" strike="noStrike">
                <a:solidFill>
                  <a:srgbClr val="000000"/>
                </a:solidFill>
                <a:latin typeface="Muli Light"/>
              </a:rPr>
              <a:pPr algn="ctr"/>
              <a:t>€ 25,20 bruto per maand</a:t>
            </a:fld>
            <a:endParaRPr lang="nl-NL" sz="1100"/>
          </a:p>
        </xdr:txBody>
      </xdr:sp>
    </xdr:grpSp>
    <xdr:clientData/>
  </xdr:twoCellAnchor>
  <xdr:twoCellAnchor>
    <xdr:from>
      <xdr:col>15</xdr:col>
      <xdr:colOff>8292</xdr:colOff>
      <xdr:row>222</xdr:row>
      <xdr:rowOff>124239</xdr:rowOff>
    </xdr:from>
    <xdr:to>
      <xdr:col>16</xdr:col>
      <xdr:colOff>82835</xdr:colOff>
      <xdr:row>225</xdr:row>
      <xdr:rowOff>8283</xdr:rowOff>
    </xdr:to>
    <xdr:sp macro="" textlink="">
      <xdr:nvSpPr>
        <xdr:cNvPr id="249" name="Is gelijk aan 248">
          <a:extLst>
            <a:ext uri="{FF2B5EF4-FFF2-40B4-BE49-F238E27FC236}">
              <a16:creationId xmlns:a16="http://schemas.microsoft.com/office/drawing/2014/main" id="{7072C58C-950F-4714-9D5D-8A9507F3660D}"/>
            </a:ext>
          </a:extLst>
        </xdr:cNvPr>
        <xdr:cNvSpPr/>
      </xdr:nvSpPr>
      <xdr:spPr>
        <a:xfrm>
          <a:off x="9069466" y="19903109"/>
          <a:ext cx="687456" cy="381000"/>
        </a:xfrm>
        <a:prstGeom prst="mathEqual">
          <a:avLst/>
        </a:prstGeom>
        <a:solidFill>
          <a:srgbClr val="4FB4E7"/>
        </a:solidFill>
        <a:ln>
          <a:solidFill>
            <a:srgbClr val="00519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11</xdr:col>
      <xdr:colOff>200025</xdr:colOff>
      <xdr:row>64</xdr:row>
      <xdr:rowOff>85725</xdr:rowOff>
    </xdr:from>
    <xdr:to>
      <xdr:col>19</xdr:col>
      <xdr:colOff>866775</xdr:colOff>
      <xdr:row>90</xdr:row>
      <xdr:rowOff>104775</xdr:rowOff>
    </xdr:to>
    <xdr:sp macro="" textlink="">
      <xdr:nvSpPr>
        <xdr:cNvPr id="22" name="Rechthoek 21">
          <a:extLst>
            <a:ext uri="{FF2B5EF4-FFF2-40B4-BE49-F238E27FC236}">
              <a16:creationId xmlns:a16="http://schemas.microsoft.com/office/drawing/2014/main" id="{E1A0A4F1-DD69-474B-921E-CA7367C3071B}"/>
            </a:ext>
          </a:extLst>
        </xdr:cNvPr>
        <xdr:cNvSpPr/>
      </xdr:nvSpPr>
      <xdr:spPr>
        <a:xfrm>
          <a:off x="6781800" y="10763250"/>
          <a:ext cx="5543550" cy="422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0"/>
          <a:r>
            <a:rPr lang="nl-NL" sz="1200" b="1">
              <a:solidFill>
                <a:schemeClr val="lt1"/>
              </a:solidFill>
              <a:effectLst/>
              <a:latin typeface="Muli Light" panose="00000400000000000000" pitchFamily="2" charset="0"/>
              <a:ea typeface="+mn-ea"/>
              <a:cs typeface="+mn-cs"/>
            </a:rPr>
            <a:t>Je wordt minder dan 35% arbeidsongeschikt verklaard.</a:t>
          </a:r>
        </a:p>
        <a:p>
          <a:pPr lvl="0"/>
          <a:r>
            <a:rPr lang="nl-NL" sz="1200">
              <a:solidFill>
                <a:schemeClr val="lt1"/>
              </a:solidFill>
              <a:effectLst/>
              <a:latin typeface="Muli Light" panose="00000400000000000000" pitchFamily="2" charset="0"/>
              <a:ea typeface="+mn-ea"/>
              <a:cs typeface="+mn-cs"/>
            </a:rPr>
            <a:t>Als je door UWV minder dan 35% arbeidsongeschikt wordt verklaard, dan heb je geen recht op een WIA-uitkering. Vaak blijf Je in dienst en wordt er gekeken of er ander "passend" werk voor je te vinden is. </a:t>
          </a:r>
        </a:p>
        <a:p>
          <a:pPr lvl="0"/>
          <a:r>
            <a:rPr lang="nl-NL" sz="1200" b="1">
              <a:solidFill>
                <a:schemeClr val="lt1"/>
              </a:solidFill>
              <a:effectLst/>
              <a:latin typeface="Muli Light" panose="00000400000000000000" pitchFamily="2" charset="0"/>
              <a:ea typeface="+mn-ea"/>
              <a:cs typeface="+mn-cs"/>
            </a:rPr>
            <a:t>Je wordt gedeeltelijk arbeidsongeschikt verklaard (35%-80%)</a:t>
          </a:r>
        </a:p>
        <a:p>
          <a:pPr lvl="0"/>
          <a:r>
            <a:rPr lang="nl-NL" sz="1200">
              <a:solidFill>
                <a:schemeClr val="lt1"/>
              </a:solidFill>
              <a:effectLst/>
              <a:latin typeface="Muli Light" panose="00000400000000000000" pitchFamily="2" charset="0"/>
              <a:ea typeface="+mn-ea"/>
              <a:cs typeface="+mn-cs"/>
            </a:rPr>
            <a:t>Je komt in aanmerking voor een WGA-uitkering van UWV. De eerste maanden (minimaal 3 en maximaal 24) ontvang je een loongerelateerde uitkering. De uitkering die je hierna ontvangt, is afhankelijk van de vraag of je nog voldoende werkt naast je uitkering. </a:t>
          </a:r>
        </a:p>
        <a:p>
          <a:pPr lvl="0"/>
          <a:r>
            <a:rPr lang="nl-NL" sz="1200">
              <a:solidFill>
                <a:schemeClr val="lt1"/>
              </a:solidFill>
              <a:effectLst/>
              <a:latin typeface="Muli Light" panose="00000400000000000000" pitchFamily="2" charset="0"/>
              <a:ea typeface="+mn-ea"/>
              <a:cs typeface="+mn-cs"/>
            </a:rPr>
            <a:t>a. Loonaanvullingsuitkering: werk je nog voldoende, dan ontvang je een loonaanvullingsuitkering. </a:t>
          </a:r>
        </a:p>
        <a:p>
          <a:pPr lvl="0"/>
          <a:r>
            <a:rPr lang="nl-NL" sz="1200">
              <a:solidFill>
                <a:schemeClr val="lt1"/>
              </a:solidFill>
              <a:effectLst/>
              <a:latin typeface="Muli Light" panose="00000400000000000000" pitchFamily="2" charset="0"/>
              <a:ea typeface="+mn-ea"/>
              <a:cs typeface="+mn-cs"/>
            </a:rPr>
            <a:t>b. Vervolguitkering: werk je te weinig, dan ontvang je de lagere</a:t>
          </a:r>
          <a:r>
            <a:rPr lang="nl-NL" sz="1200" baseline="0">
              <a:solidFill>
                <a:schemeClr val="lt1"/>
              </a:solidFill>
              <a:effectLst/>
              <a:latin typeface="Muli Light" panose="00000400000000000000" pitchFamily="2" charset="0"/>
              <a:ea typeface="+mn-ea"/>
              <a:cs typeface="+mn-cs"/>
            </a:rPr>
            <a:t> </a:t>
          </a:r>
          <a:r>
            <a:rPr lang="nl-NL" sz="1200">
              <a:solidFill>
                <a:schemeClr val="lt1"/>
              </a:solidFill>
              <a:effectLst/>
              <a:latin typeface="Muli Light" panose="00000400000000000000" pitchFamily="2" charset="0"/>
              <a:ea typeface="+mn-ea"/>
              <a:cs typeface="+mn-cs"/>
            </a:rPr>
            <a:t>vervolguitkering. </a:t>
          </a:r>
        </a:p>
        <a:p>
          <a:pPr lvl="0"/>
          <a:r>
            <a:rPr lang="nl-NL" sz="1200" b="1">
              <a:solidFill>
                <a:schemeClr val="lt1"/>
              </a:solidFill>
              <a:effectLst/>
              <a:latin typeface="Muli Light" panose="00000400000000000000" pitchFamily="2" charset="0"/>
              <a:ea typeface="+mn-ea"/>
              <a:cs typeface="+mn-cs"/>
            </a:rPr>
            <a:t>Je wordt volledig, maar niet duurzaam arbeidsongeschikt verklaard (&gt;80%)</a:t>
          </a:r>
        </a:p>
        <a:p>
          <a:pPr lvl="0"/>
          <a:r>
            <a:rPr lang="nl-NL" sz="1200">
              <a:solidFill>
                <a:schemeClr val="lt1"/>
              </a:solidFill>
              <a:effectLst/>
              <a:latin typeface="Muli Light" panose="00000400000000000000" pitchFamily="2" charset="0"/>
              <a:ea typeface="+mn-ea"/>
              <a:cs typeface="+mn-cs"/>
            </a:rPr>
            <a:t>Je kunt nu helemaal niet meer werken, maar de verwachting is dat dit in de toekomst wel weer mogelijk is. Je ontvangt dan net zoals in situatie 2 een loonaanvullingsuitkering. </a:t>
          </a:r>
        </a:p>
        <a:p>
          <a:pPr lvl="0"/>
          <a:r>
            <a:rPr lang="nl-NL" sz="1200" b="1">
              <a:solidFill>
                <a:schemeClr val="lt1"/>
              </a:solidFill>
              <a:effectLst/>
              <a:latin typeface="Muli Light" panose="00000400000000000000" pitchFamily="2" charset="0"/>
              <a:ea typeface="+mn-ea"/>
              <a:cs typeface="+mn-cs"/>
            </a:rPr>
            <a:t>Je wordt volledig en duurzaam arbeidsongeschikt verklaard (&gt;80%) </a:t>
          </a:r>
        </a:p>
        <a:p>
          <a:pPr lvl="0"/>
          <a:r>
            <a:rPr lang="nl-NL" sz="1200">
              <a:solidFill>
                <a:schemeClr val="lt1"/>
              </a:solidFill>
              <a:effectLst/>
              <a:latin typeface="Muli Light" panose="00000400000000000000" pitchFamily="2" charset="0"/>
              <a:ea typeface="+mn-ea"/>
              <a:cs typeface="+mn-cs"/>
            </a:rPr>
            <a:t>Je kunt helemaal niet meer werken. Je ontvangt een IVA-uitkering (Inkomensvoorziening Volledig Arbeidsongeschikten).</a:t>
          </a:r>
        </a:p>
      </xdr:txBody>
    </xdr:sp>
    <xdr:clientData/>
  </xdr:twoCellAnchor>
  <xdr:twoCellAnchor>
    <xdr:from>
      <xdr:col>10</xdr:col>
      <xdr:colOff>476250</xdr:colOff>
      <xdr:row>64</xdr:row>
      <xdr:rowOff>85725</xdr:rowOff>
    </xdr:from>
    <xdr:to>
      <xdr:col>11</xdr:col>
      <xdr:colOff>285750</xdr:colOff>
      <xdr:row>90</xdr:row>
      <xdr:rowOff>104775</xdr:rowOff>
    </xdr:to>
    <xdr:sp macro="" textlink="">
      <xdr:nvSpPr>
        <xdr:cNvPr id="24" name="Rechthoek 23">
          <a:extLst>
            <a:ext uri="{FF2B5EF4-FFF2-40B4-BE49-F238E27FC236}">
              <a16:creationId xmlns:a16="http://schemas.microsoft.com/office/drawing/2014/main" id="{1C0AB4BA-B908-44E5-9E45-B77066AC148C}"/>
            </a:ext>
          </a:extLst>
        </xdr:cNvPr>
        <xdr:cNvSpPr/>
      </xdr:nvSpPr>
      <xdr:spPr>
        <a:xfrm>
          <a:off x="6448425" y="10763250"/>
          <a:ext cx="419100" cy="422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numCol="1" rtlCol="0" anchor="t"/>
        <a:lstStyle/>
        <a:p>
          <a:pPr lvl="0"/>
          <a:r>
            <a:rPr lang="nl-NL" sz="1200" b="1">
              <a:solidFill>
                <a:schemeClr val="lt1"/>
              </a:solidFill>
              <a:effectLst/>
              <a:latin typeface="Muli Light" panose="00000400000000000000" pitchFamily="2" charset="0"/>
              <a:ea typeface="+mn-ea"/>
              <a:cs typeface="+mn-cs"/>
            </a:rPr>
            <a:t>1.</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2.</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3.</a:t>
          </a: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endParaRPr lang="nl-NL" sz="1200">
            <a:solidFill>
              <a:schemeClr val="lt1"/>
            </a:solidFill>
            <a:effectLst/>
            <a:latin typeface="Muli Light" panose="00000400000000000000" pitchFamily="2" charset="0"/>
            <a:ea typeface="+mn-ea"/>
            <a:cs typeface="+mn-cs"/>
          </a:endParaRPr>
        </a:p>
        <a:p>
          <a:pPr lvl="0"/>
          <a:r>
            <a:rPr lang="nl-NL" sz="1200" b="1">
              <a:solidFill>
                <a:schemeClr val="lt1"/>
              </a:solidFill>
              <a:effectLst/>
              <a:latin typeface="Muli Light" panose="00000400000000000000" pitchFamily="2" charset="0"/>
              <a:ea typeface="+mn-ea"/>
              <a:cs typeface="+mn-cs"/>
            </a:rPr>
            <a:t>4.</a:t>
          </a:r>
        </a:p>
      </xdr:txBody>
    </xdr:sp>
    <xdr:clientData/>
  </xdr:twoCellAnchor>
  <xdr:twoCellAnchor>
    <xdr:from>
      <xdr:col>3</xdr:col>
      <xdr:colOff>9525</xdr:colOff>
      <xdr:row>209</xdr:row>
      <xdr:rowOff>38100</xdr:rowOff>
    </xdr:from>
    <xdr:to>
      <xdr:col>3</xdr:col>
      <xdr:colOff>228600</xdr:colOff>
      <xdr:row>210</xdr:row>
      <xdr:rowOff>57150</xdr:rowOff>
    </xdr:to>
    <xdr:sp macro="" textlink="">
      <xdr:nvSpPr>
        <xdr:cNvPr id="250" name="Rechthoek 249">
          <a:extLst>
            <a:ext uri="{FF2B5EF4-FFF2-40B4-BE49-F238E27FC236}">
              <a16:creationId xmlns:a16="http://schemas.microsoft.com/office/drawing/2014/main" id="{679B1AD2-EC8C-47C1-94AD-65C30F2C35DC}"/>
            </a:ext>
          </a:extLst>
        </xdr:cNvPr>
        <xdr:cNvSpPr/>
      </xdr:nvSpPr>
      <xdr:spPr>
        <a:xfrm>
          <a:off x="1571625" y="17945100"/>
          <a:ext cx="219075" cy="180975"/>
        </a:xfrm>
        <a:prstGeom prst="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209</xdr:row>
      <xdr:rowOff>38100</xdr:rowOff>
    </xdr:from>
    <xdr:to>
      <xdr:col>6</xdr:col>
      <xdr:colOff>226267</xdr:colOff>
      <xdr:row>210</xdr:row>
      <xdr:rowOff>57150</xdr:rowOff>
    </xdr:to>
    <xdr:sp macro="" textlink="Grafiekblad!O8">
      <xdr:nvSpPr>
        <xdr:cNvPr id="251" name="Rechthoek 250">
          <a:extLst>
            <a:ext uri="{FF2B5EF4-FFF2-40B4-BE49-F238E27FC236}">
              <a16:creationId xmlns:a16="http://schemas.microsoft.com/office/drawing/2014/main" id="{12F60134-EC67-456D-8B8A-11242B00152D}"/>
            </a:ext>
          </a:extLst>
        </xdr:cNvPr>
        <xdr:cNvSpPr/>
      </xdr:nvSpPr>
      <xdr:spPr>
        <a:xfrm>
          <a:off x="1821608" y="17945100"/>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D62AA106-0527-43F2-9056-13D90629DB51}"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16</xdr:col>
      <xdr:colOff>85725</xdr:colOff>
      <xdr:row>209</xdr:row>
      <xdr:rowOff>28575</xdr:rowOff>
    </xdr:from>
    <xdr:to>
      <xdr:col>16</xdr:col>
      <xdr:colOff>304800</xdr:colOff>
      <xdr:row>210</xdr:row>
      <xdr:rowOff>47625</xdr:rowOff>
    </xdr:to>
    <xdr:sp macro="" textlink="">
      <xdr:nvSpPr>
        <xdr:cNvPr id="252" name="Rechthoek 251">
          <a:extLst>
            <a:ext uri="{FF2B5EF4-FFF2-40B4-BE49-F238E27FC236}">
              <a16:creationId xmlns:a16="http://schemas.microsoft.com/office/drawing/2014/main" id="{7A55BF65-6C0F-4077-B3AA-F811A2FCB55B}"/>
            </a:ext>
          </a:extLst>
        </xdr:cNvPr>
        <xdr:cNvSpPr/>
      </xdr:nvSpPr>
      <xdr:spPr>
        <a:xfrm>
          <a:off x="10163175" y="17935575"/>
          <a:ext cx="219075" cy="180975"/>
        </a:xfrm>
        <a:prstGeom prst="rect">
          <a:avLst/>
        </a:prstGeom>
        <a:solidFill>
          <a:srgbClr val="00519D"/>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16</xdr:col>
      <xdr:colOff>335708</xdr:colOff>
      <xdr:row>209</xdr:row>
      <xdr:rowOff>28575</xdr:rowOff>
    </xdr:from>
    <xdr:to>
      <xdr:col>19</xdr:col>
      <xdr:colOff>92917</xdr:colOff>
      <xdr:row>210</xdr:row>
      <xdr:rowOff>47625</xdr:rowOff>
    </xdr:to>
    <xdr:sp macro="" textlink="Grafiekblad!Q29">
      <xdr:nvSpPr>
        <xdr:cNvPr id="253" name="Rechthoek 252">
          <a:extLst>
            <a:ext uri="{FF2B5EF4-FFF2-40B4-BE49-F238E27FC236}">
              <a16:creationId xmlns:a16="http://schemas.microsoft.com/office/drawing/2014/main" id="{76FE9C9B-501E-4BEF-8044-09D084DC427C}"/>
            </a:ext>
          </a:extLst>
        </xdr:cNvPr>
        <xdr:cNvSpPr/>
      </xdr:nvSpPr>
      <xdr:spPr>
        <a:xfrm>
          <a:off x="10413158" y="17935575"/>
          <a:ext cx="167173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E09D448A-458E-4AE7-82F5-E2CCDB5D8AA4}" type="TxLink">
            <a:rPr lang="en-US" sz="1000" b="0" i="0" u="none" strike="noStrike">
              <a:solidFill>
                <a:sysClr val="windowText" lastClr="000000"/>
              </a:solidFill>
              <a:latin typeface="Muli Light" panose="00000400000000000000" pitchFamily="2" charset="0"/>
              <a:cs typeface="Arial"/>
            </a:rPr>
            <a:pPr algn="l"/>
            <a:t> </a:t>
          </a:fld>
          <a:endParaRPr lang="nl-NL" sz="1100">
            <a:solidFill>
              <a:sysClr val="windowText" lastClr="000000"/>
            </a:solidFill>
            <a:latin typeface="Muli Light" panose="00000400000000000000" pitchFamily="2" charset="0"/>
          </a:endParaRPr>
        </a:p>
      </xdr:txBody>
    </xdr:sp>
    <xdr:clientData/>
  </xdr:twoCellAnchor>
  <xdr:twoCellAnchor>
    <xdr:from>
      <xdr:col>3</xdr:col>
      <xdr:colOff>9525</xdr:colOff>
      <xdr:row>268</xdr:row>
      <xdr:rowOff>28575</xdr:rowOff>
    </xdr:from>
    <xdr:to>
      <xdr:col>3</xdr:col>
      <xdr:colOff>228600</xdr:colOff>
      <xdr:row>269</xdr:row>
      <xdr:rowOff>47625</xdr:rowOff>
    </xdr:to>
    <xdr:sp macro="" textlink="">
      <xdr:nvSpPr>
        <xdr:cNvPr id="254" name="Rechthoek 253">
          <a:extLst>
            <a:ext uri="{FF2B5EF4-FFF2-40B4-BE49-F238E27FC236}">
              <a16:creationId xmlns:a16="http://schemas.microsoft.com/office/drawing/2014/main" id="{2E493AFB-4A5F-419A-9F02-918B0D312B8F}"/>
            </a:ext>
          </a:extLst>
        </xdr:cNvPr>
        <xdr:cNvSpPr/>
      </xdr:nvSpPr>
      <xdr:spPr>
        <a:xfrm>
          <a:off x="1571625" y="27108150"/>
          <a:ext cx="219075" cy="180975"/>
        </a:xfrm>
        <a:prstGeom prst="rect">
          <a:avLst/>
        </a:prstGeom>
        <a:solidFill>
          <a:schemeClr val="bg1">
            <a:lumMod val="50000"/>
          </a:schemeClr>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xdr:from>
      <xdr:col>3</xdr:col>
      <xdr:colOff>259508</xdr:colOff>
      <xdr:row>268</xdr:row>
      <xdr:rowOff>28575</xdr:rowOff>
    </xdr:from>
    <xdr:to>
      <xdr:col>6</xdr:col>
      <xdr:colOff>226267</xdr:colOff>
      <xdr:row>269</xdr:row>
      <xdr:rowOff>47625</xdr:rowOff>
    </xdr:to>
    <xdr:sp macro="" textlink="Grafiekblad!O50">
      <xdr:nvSpPr>
        <xdr:cNvPr id="255" name="Rechthoek 254">
          <a:extLst>
            <a:ext uri="{FF2B5EF4-FFF2-40B4-BE49-F238E27FC236}">
              <a16:creationId xmlns:a16="http://schemas.microsoft.com/office/drawing/2014/main" id="{DF3DF2C0-D44B-47B7-A974-299850A30218}"/>
            </a:ext>
          </a:extLst>
        </xdr:cNvPr>
        <xdr:cNvSpPr/>
      </xdr:nvSpPr>
      <xdr:spPr>
        <a:xfrm>
          <a:off x="1821608" y="27108150"/>
          <a:ext cx="1881284"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fld id="{B3053C39-9827-4DAC-8402-FDE87C6FF71D}" type="TxLink">
            <a:rPr lang="en-US" sz="1000" b="0" i="0" u="none" strike="noStrike">
              <a:solidFill>
                <a:sysClr val="windowText" lastClr="000000"/>
              </a:solidFill>
              <a:latin typeface="Muli Light" panose="00000400000000000000" pitchFamily="2" charset="0"/>
              <a:cs typeface="Arial"/>
            </a:rPr>
            <a:pPr algn="l"/>
            <a:t>WGA uitkering</a:t>
          </a:fld>
          <a:endParaRPr lang="nl-NL" sz="1100">
            <a:solidFill>
              <a:sysClr val="windowText" lastClr="000000"/>
            </a:solidFill>
            <a:latin typeface="Muli Light" panose="00000400000000000000" pitchFamily="2" charset="0"/>
          </a:endParaRPr>
        </a:p>
      </xdr:txBody>
    </xdr:sp>
    <xdr:clientData/>
  </xdr:twoCellAnchor>
  <xdr:twoCellAnchor>
    <xdr:from>
      <xdr:col>2</xdr:col>
      <xdr:colOff>557247</xdr:colOff>
      <xdr:row>210</xdr:row>
      <xdr:rowOff>88036</xdr:rowOff>
    </xdr:from>
    <xdr:to>
      <xdr:col>9</xdr:col>
      <xdr:colOff>204754</xdr:colOff>
      <xdr:row>211</xdr:row>
      <xdr:rowOff>140563</xdr:rowOff>
    </xdr:to>
    <xdr:sp macro="" textlink="">
      <xdr:nvSpPr>
        <xdr:cNvPr id="238" name="Rechthoek 237">
          <a:extLst>
            <a:ext uri="{FF2B5EF4-FFF2-40B4-BE49-F238E27FC236}">
              <a16:creationId xmlns:a16="http://schemas.microsoft.com/office/drawing/2014/main" id="{98185338-E4BF-4F66-B240-DF4CC726EE94}"/>
            </a:ext>
          </a:extLst>
        </xdr:cNvPr>
        <xdr:cNvSpPr/>
      </xdr:nvSpPr>
      <xdr:spPr>
        <a:xfrm>
          <a:off x="1481172" y="18156961"/>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11</xdr:col>
      <xdr:colOff>566772</xdr:colOff>
      <xdr:row>210</xdr:row>
      <xdr:rowOff>88036</xdr:rowOff>
    </xdr:from>
    <xdr:to>
      <xdr:col>18</xdr:col>
      <xdr:colOff>433354</xdr:colOff>
      <xdr:row>211</xdr:row>
      <xdr:rowOff>140563</xdr:rowOff>
    </xdr:to>
    <xdr:sp macro="" textlink="">
      <xdr:nvSpPr>
        <xdr:cNvPr id="239" name="Rechthoek 238">
          <a:extLst>
            <a:ext uri="{FF2B5EF4-FFF2-40B4-BE49-F238E27FC236}">
              <a16:creationId xmlns:a16="http://schemas.microsoft.com/office/drawing/2014/main" id="{A3D12BC4-B42A-460B-A73C-9956BB766AA6}"/>
            </a:ext>
          </a:extLst>
        </xdr:cNvPr>
        <xdr:cNvSpPr/>
      </xdr:nvSpPr>
      <xdr:spPr>
        <a:xfrm>
          <a:off x="7453347" y="18156961"/>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2</xdr:col>
      <xdr:colOff>561975</xdr:colOff>
      <xdr:row>269</xdr:row>
      <xdr:rowOff>71298</xdr:rowOff>
    </xdr:from>
    <xdr:to>
      <xdr:col>9</xdr:col>
      <xdr:colOff>209482</xdr:colOff>
      <xdr:row>270</xdr:row>
      <xdr:rowOff>123825</xdr:rowOff>
    </xdr:to>
    <xdr:sp macro="" textlink="">
      <xdr:nvSpPr>
        <xdr:cNvPr id="57" name="Rechthoek 56">
          <a:extLst>
            <a:ext uri="{FF2B5EF4-FFF2-40B4-BE49-F238E27FC236}">
              <a16:creationId xmlns:a16="http://schemas.microsoft.com/office/drawing/2014/main" id="{F4F70088-B885-4CC2-A182-D73A3B7D7DD8}"/>
            </a:ext>
          </a:extLst>
        </xdr:cNvPr>
        <xdr:cNvSpPr/>
      </xdr:nvSpPr>
      <xdr:spPr>
        <a:xfrm>
          <a:off x="1485900" y="27312798"/>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twoCellAnchor>
    <xdr:from>
      <xdr:col>11</xdr:col>
      <xdr:colOff>571500</xdr:colOff>
      <xdr:row>269</xdr:row>
      <xdr:rowOff>71298</xdr:rowOff>
    </xdr:from>
    <xdr:to>
      <xdr:col>18</xdr:col>
      <xdr:colOff>438082</xdr:colOff>
      <xdr:row>270</xdr:row>
      <xdr:rowOff>123825</xdr:rowOff>
    </xdr:to>
    <xdr:sp macro="" textlink="">
      <xdr:nvSpPr>
        <xdr:cNvPr id="58" name="Rechthoek 57">
          <a:extLst>
            <a:ext uri="{FF2B5EF4-FFF2-40B4-BE49-F238E27FC236}">
              <a16:creationId xmlns:a16="http://schemas.microsoft.com/office/drawing/2014/main" id="{83C252CB-FC7F-47BD-98F1-A6BFC762987B}"/>
            </a:ext>
          </a:extLst>
        </xdr:cNvPr>
        <xdr:cNvSpPr/>
      </xdr:nvSpPr>
      <xdr:spPr>
        <a:xfrm>
          <a:off x="7458075" y="27312798"/>
          <a:ext cx="4333807" cy="2144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lang="en-US" sz="1000" b="0" i="0" u="none" strike="noStrike">
              <a:solidFill>
                <a:sysClr val="windowText" lastClr="000000"/>
              </a:solidFill>
              <a:latin typeface="Muli Light" panose="00000400000000000000" pitchFamily="2" charset="0"/>
              <a:cs typeface="Arial"/>
            </a:rPr>
            <a:t>* </a:t>
          </a:r>
          <a:r>
            <a:rPr lang="nl-NL" sz="1000">
              <a:solidFill>
                <a:sysClr val="windowText" lastClr="000000"/>
              </a:solidFill>
              <a:effectLst/>
              <a:latin typeface="Muli Light" panose="00000400000000000000" pitchFamily="2" charset="0"/>
              <a:ea typeface="+mn-ea"/>
              <a:cs typeface="+mn-cs"/>
            </a:rPr>
            <a:t>mits voldaan aan de gestelde voorwaarden.</a:t>
          </a:r>
          <a:endParaRPr lang="en-US" sz="1000" b="0" i="0" u="none" strike="noStrike">
            <a:solidFill>
              <a:sysClr val="windowText" lastClr="000000"/>
            </a:solidFill>
            <a:latin typeface="Muli Light" panose="00000400000000000000" pitchFamily="2" charset="0"/>
            <a:cs typeface="Aria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591F9-2DAD-4EB6-BE3E-44D7602BBD2B}">
  <sheetPr codeName="Blad1"/>
  <dimension ref="B2:G239"/>
  <sheetViews>
    <sheetView workbookViewId="0">
      <selection activeCell="D56" sqref="D56"/>
    </sheetView>
  </sheetViews>
  <sheetFormatPr defaultRowHeight="12.75" x14ac:dyDescent="0.2"/>
  <cols>
    <col min="2" max="2" width="34" bestFit="1" customWidth="1"/>
    <col min="3" max="3" width="31.42578125" bestFit="1" customWidth="1"/>
    <col min="4" max="6" width="17.85546875" bestFit="1" customWidth="1"/>
    <col min="7" max="7" width="14.5703125" bestFit="1" customWidth="1"/>
  </cols>
  <sheetData>
    <row r="2" spans="2:7" ht="18" x14ac:dyDescent="0.35">
      <c r="B2" s="6" t="s">
        <v>3</v>
      </c>
      <c r="C2" s="9"/>
      <c r="D2" s="6">
        <v>2024</v>
      </c>
      <c r="E2" s="6"/>
      <c r="F2" s="6"/>
    </row>
    <row r="3" spans="2:7" ht="18" x14ac:dyDescent="0.35">
      <c r="B3" s="1"/>
      <c r="C3" s="1" t="s">
        <v>4</v>
      </c>
      <c r="D3" s="2">
        <v>28406</v>
      </c>
      <c r="E3" s="2"/>
      <c r="F3" s="2"/>
    </row>
    <row r="4" spans="2:7" ht="18" x14ac:dyDescent="0.35">
      <c r="B4" s="1"/>
      <c r="C4" s="1" t="s">
        <v>5</v>
      </c>
      <c r="D4" s="2">
        <v>75864</v>
      </c>
      <c r="E4" s="2"/>
      <c r="F4" s="2"/>
    </row>
    <row r="6" spans="2:7" ht="18" x14ac:dyDescent="0.35">
      <c r="C6" s="1" t="s">
        <v>13</v>
      </c>
      <c r="D6" s="2">
        <f>Inkomen</f>
        <v>40000</v>
      </c>
      <c r="E6" s="2"/>
      <c r="F6" s="2"/>
      <c r="G6" s="1"/>
    </row>
    <row r="7" spans="2:7" ht="18" x14ac:dyDescent="0.35">
      <c r="C7" s="1" t="s">
        <v>11</v>
      </c>
      <c r="D7" s="1">
        <f>MIN(1,Max_SV/D6)</f>
        <v>1</v>
      </c>
      <c r="E7" s="1"/>
      <c r="F7" s="1"/>
      <c r="G7" s="1"/>
    </row>
    <row r="8" spans="2:7" ht="18" x14ac:dyDescent="0.35">
      <c r="C8" s="1"/>
      <c r="D8" s="1"/>
      <c r="E8" s="1"/>
      <c r="F8" s="1"/>
      <c r="G8" s="1"/>
    </row>
    <row r="9" spans="2:7" ht="18" x14ac:dyDescent="0.35">
      <c r="D9" s="1" t="s">
        <v>6</v>
      </c>
      <c r="E9" s="1" t="s">
        <v>7</v>
      </c>
      <c r="F9" s="1" t="s">
        <v>8</v>
      </c>
      <c r="G9" s="1" t="s">
        <v>130</v>
      </c>
    </row>
    <row r="10" spans="2:7" ht="18" x14ac:dyDescent="0.35">
      <c r="C10" s="1" t="s">
        <v>9</v>
      </c>
      <c r="D10" s="4">
        <v>0.5</v>
      </c>
      <c r="E10" s="4">
        <v>0.5</v>
      </c>
      <c r="F10" s="4">
        <v>1</v>
      </c>
      <c r="G10" s="4">
        <v>0.25</v>
      </c>
    </row>
    <row r="11" spans="2:7" ht="18" x14ac:dyDescent="0.35">
      <c r="C11" s="1" t="s">
        <v>10</v>
      </c>
      <c r="D11" s="2">
        <v>0</v>
      </c>
      <c r="E11" s="2">
        <f>ROUNDUP(50%*(1-0.5)*Inkomen,-2)</f>
        <v>10000</v>
      </c>
      <c r="F11" s="2">
        <v>0</v>
      </c>
      <c r="G11" s="2">
        <f>50%*(1-G10)*Inkomen</f>
        <v>15000</v>
      </c>
    </row>
    <row r="12" spans="2:7" ht="18" x14ac:dyDescent="0.35">
      <c r="C12" s="1"/>
      <c r="D12" s="2"/>
      <c r="E12" s="2"/>
      <c r="F12" s="2"/>
    </row>
    <row r="14" spans="2:7" ht="18" x14ac:dyDescent="0.35">
      <c r="B14" s="6" t="s">
        <v>6</v>
      </c>
      <c r="C14" s="6" t="s">
        <v>14</v>
      </c>
      <c r="D14" s="7"/>
      <c r="E14" s="7"/>
      <c r="F14" s="7"/>
    </row>
    <row r="15" spans="2:7" ht="18" x14ac:dyDescent="0.35">
      <c r="D15" s="1" t="s">
        <v>1</v>
      </c>
      <c r="E15" s="1" t="s">
        <v>0</v>
      </c>
      <c r="F15" s="1"/>
    </row>
    <row r="16" spans="2:7" ht="18" x14ac:dyDescent="0.35">
      <c r="B16" s="1" t="s">
        <v>12</v>
      </c>
      <c r="C16" s="1" t="s">
        <v>16</v>
      </c>
      <c r="D16" s="2">
        <f>70%*(MIN(D6,Max_SV)-D7*D11)</f>
        <v>28000</v>
      </c>
      <c r="E16" s="2">
        <f>35%*MIN(D6,Min_loon)</f>
        <v>9942.0999999999985</v>
      </c>
      <c r="F16" s="2"/>
    </row>
    <row r="17" spans="2:6" ht="18" x14ac:dyDescent="0.35">
      <c r="B17" s="1"/>
      <c r="C17" s="1"/>
      <c r="E17" s="2"/>
      <c r="F17" s="2"/>
    </row>
    <row r="18" spans="2:6" ht="18" hidden="1" x14ac:dyDescent="0.35">
      <c r="B18" s="1"/>
      <c r="C18" s="1"/>
      <c r="D18" s="2"/>
      <c r="E18" s="2"/>
      <c r="F18" s="2"/>
    </row>
    <row r="19" spans="2:6" ht="18" hidden="1" x14ac:dyDescent="0.35">
      <c r="B19" s="1"/>
      <c r="C19" s="1"/>
    </row>
    <row r="20" spans="2:6" ht="18" hidden="1" x14ac:dyDescent="0.35">
      <c r="B20" s="1"/>
      <c r="C20" s="1"/>
      <c r="E20" s="2"/>
    </row>
    <row r="21" spans="2:6" ht="18" hidden="1" x14ac:dyDescent="0.35">
      <c r="B21" s="1"/>
      <c r="C21" s="1"/>
      <c r="D21" s="2"/>
      <c r="E21" s="2"/>
      <c r="F21" s="2"/>
    </row>
    <row r="22" spans="2:6" ht="18" hidden="1" x14ac:dyDescent="0.35">
      <c r="B22" s="1"/>
      <c r="C22" s="1"/>
      <c r="D22" s="2"/>
      <c r="E22" s="2"/>
      <c r="F22" s="2"/>
    </row>
    <row r="23" spans="2:6" ht="18" hidden="1" x14ac:dyDescent="0.35">
      <c r="B23" s="1"/>
      <c r="C23" s="1"/>
    </row>
    <row r="24" spans="2:6" ht="18" hidden="1" x14ac:dyDescent="0.35">
      <c r="B24" s="1"/>
      <c r="C24" s="1"/>
    </row>
    <row r="25" spans="2:6" ht="18" hidden="1" x14ac:dyDescent="0.35">
      <c r="B25" s="8"/>
      <c r="C25" s="1"/>
      <c r="D25" s="2"/>
      <c r="E25" s="2"/>
      <c r="F25" s="2"/>
    </row>
    <row r="26" spans="2:6" ht="18" hidden="1" x14ac:dyDescent="0.35">
      <c r="C26" s="1"/>
      <c r="F26" s="2"/>
    </row>
    <row r="27" spans="2:6" ht="18" hidden="1" x14ac:dyDescent="0.35">
      <c r="B27" s="1"/>
      <c r="C27" s="1"/>
      <c r="D27" s="2"/>
      <c r="E27" s="2"/>
      <c r="F27" s="2"/>
    </row>
    <row r="28" spans="2:6" ht="18" hidden="1" x14ac:dyDescent="0.35">
      <c r="B28" s="1"/>
      <c r="C28" s="1"/>
    </row>
    <row r="29" spans="2:6" ht="18" hidden="1" x14ac:dyDescent="0.35">
      <c r="B29" s="1"/>
      <c r="C29" s="1"/>
      <c r="D29" s="2"/>
      <c r="E29" s="2"/>
      <c r="F29" s="2"/>
    </row>
    <row r="30" spans="2:6" ht="18" hidden="1" x14ac:dyDescent="0.35">
      <c r="B30" s="1"/>
      <c r="C30" s="1"/>
    </row>
    <row r="31" spans="2:6" ht="18" x14ac:dyDescent="0.35">
      <c r="B31" s="6" t="s">
        <v>7</v>
      </c>
      <c r="C31" s="6" t="s">
        <v>15</v>
      </c>
      <c r="D31" s="7"/>
      <c r="E31" s="7"/>
      <c r="F31" s="7"/>
    </row>
    <row r="32" spans="2:6" ht="18" x14ac:dyDescent="0.35">
      <c r="D32" s="1" t="s">
        <v>1</v>
      </c>
      <c r="E32" s="1" t="s">
        <v>2</v>
      </c>
      <c r="F32" s="1"/>
    </row>
    <row r="33" spans="2:6" ht="18" x14ac:dyDescent="0.35">
      <c r="B33" s="1" t="s">
        <v>12</v>
      </c>
      <c r="C33" s="1" t="s">
        <v>16</v>
      </c>
      <c r="D33" s="2">
        <f>70%*(MIN(D6,Max_SV)-D7*E11)</f>
        <v>21000</v>
      </c>
      <c r="E33" s="2">
        <f>70%*(MIN(D6,Max_SV)-((1-E10)*D6*D7))</f>
        <v>14000</v>
      </c>
      <c r="F33" s="2"/>
    </row>
    <row r="34" spans="2:6" ht="18" x14ac:dyDescent="0.35">
      <c r="B34" s="1"/>
      <c r="C34" s="1"/>
      <c r="E34" s="2"/>
      <c r="F34" s="2"/>
    </row>
    <row r="35" spans="2:6" ht="18" hidden="1" x14ac:dyDescent="0.35">
      <c r="B35" s="1"/>
      <c r="C35" s="1"/>
      <c r="D35" s="2"/>
      <c r="E35" s="2"/>
      <c r="F35" s="2"/>
    </row>
    <row r="36" spans="2:6" ht="18" hidden="1" x14ac:dyDescent="0.35">
      <c r="B36" s="1"/>
      <c r="C36" s="1"/>
    </row>
    <row r="37" spans="2:6" ht="18" hidden="1" x14ac:dyDescent="0.35">
      <c r="B37" s="1"/>
      <c r="C37" s="1"/>
      <c r="E37" s="2"/>
    </row>
    <row r="38" spans="2:6" ht="18" hidden="1" x14ac:dyDescent="0.35">
      <c r="B38" s="1"/>
      <c r="C38" s="1"/>
      <c r="D38" s="2"/>
      <c r="E38" s="2"/>
      <c r="F38" s="2"/>
    </row>
    <row r="39" spans="2:6" ht="18" hidden="1" x14ac:dyDescent="0.35">
      <c r="B39" s="1"/>
      <c r="C39" s="1"/>
      <c r="D39" s="2"/>
      <c r="E39" s="2"/>
      <c r="F39" s="2"/>
    </row>
    <row r="40" spans="2:6" ht="18" hidden="1" x14ac:dyDescent="0.35">
      <c r="B40" s="1"/>
      <c r="C40" s="1"/>
    </row>
    <row r="41" spans="2:6" ht="18" hidden="1" x14ac:dyDescent="0.35">
      <c r="B41" s="1"/>
      <c r="C41" s="1"/>
    </row>
    <row r="42" spans="2:6" ht="18" hidden="1" x14ac:dyDescent="0.35">
      <c r="B42" s="8"/>
      <c r="C42" s="1"/>
      <c r="D42" s="2"/>
      <c r="E42" s="2"/>
      <c r="F42" s="2"/>
    </row>
    <row r="43" spans="2:6" ht="18" hidden="1" x14ac:dyDescent="0.35">
      <c r="C43" s="1"/>
      <c r="D43" s="2"/>
      <c r="E43" s="2"/>
      <c r="F43" s="2"/>
    </row>
    <row r="44" spans="2:6" ht="18" hidden="1" x14ac:dyDescent="0.35">
      <c r="B44" s="1"/>
      <c r="C44" s="1"/>
      <c r="D44" s="2"/>
      <c r="E44" s="2"/>
      <c r="F44" s="2"/>
    </row>
    <row r="45" spans="2:6" ht="18" hidden="1" x14ac:dyDescent="0.35">
      <c r="B45" s="1"/>
      <c r="C45" s="1"/>
    </row>
    <row r="46" spans="2:6" ht="18" hidden="1" x14ac:dyDescent="0.35">
      <c r="B46" s="1"/>
      <c r="C46" s="1"/>
      <c r="D46" s="2"/>
      <c r="E46" s="2"/>
      <c r="F46" s="2"/>
    </row>
    <row r="47" spans="2:6" ht="18" hidden="1" x14ac:dyDescent="0.35">
      <c r="B47" s="1"/>
      <c r="C47" s="1"/>
    </row>
    <row r="48" spans="2:6" ht="18" x14ac:dyDescent="0.35">
      <c r="B48" s="6" t="s">
        <v>8</v>
      </c>
      <c r="C48" s="6" t="s">
        <v>17</v>
      </c>
      <c r="D48" s="7"/>
      <c r="E48" s="7"/>
      <c r="F48" s="7"/>
    </row>
    <row r="49" spans="2:6" ht="18" x14ac:dyDescent="0.35">
      <c r="D49" s="1" t="s">
        <v>1</v>
      </c>
      <c r="E49" s="1" t="s">
        <v>2</v>
      </c>
      <c r="F49" s="1"/>
    </row>
    <row r="50" spans="2:6" ht="18" x14ac:dyDescent="0.35">
      <c r="B50" s="1" t="s">
        <v>12</v>
      </c>
      <c r="C50" s="1" t="s">
        <v>16</v>
      </c>
      <c r="D50" s="2">
        <f>70%*(MIN(D6,Max_SV)-D7*F11)</f>
        <v>28000</v>
      </c>
      <c r="E50" s="2">
        <f>70%*(MIN(D6,Max_SV)-((1-F10)*D6*D7))</f>
        <v>28000</v>
      </c>
      <c r="F50" s="2"/>
    </row>
    <row r="51" spans="2:6" ht="18" x14ac:dyDescent="0.35">
      <c r="B51" s="1"/>
      <c r="C51" s="1"/>
      <c r="E51" s="2"/>
      <c r="F51" s="2"/>
    </row>
    <row r="52" spans="2:6" ht="18" x14ac:dyDescent="0.35">
      <c r="B52" s="1"/>
      <c r="C52" s="1"/>
      <c r="D52" s="2"/>
      <c r="E52" s="2"/>
      <c r="F52" s="2"/>
    </row>
    <row r="53" spans="2:6" ht="18" x14ac:dyDescent="0.35">
      <c r="B53" s="1"/>
      <c r="C53" s="1"/>
    </row>
    <row r="54" spans="2:6" ht="18" x14ac:dyDescent="0.35">
      <c r="B54" s="1"/>
      <c r="C54" s="1"/>
      <c r="E54" s="2"/>
    </row>
    <row r="55" spans="2:6" ht="18" x14ac:dyDescent="0.35">
      <c r="B55" s="1"/>
      <c r="C55" s="1"/>
      <c r="D55" s="2"/>
      <c r="E55" s="2"/>
      <c r="F55" s="2"/>
    </row>
    <row r="56" spans="2:6" ht="18" x14ac:dyDescent="0.35">
      <c r="B56" s="1"/>
      <c r="C56" s="1"/>
      <c r="D56" s="2"/>
      <c r="E56" s="2"/>
      <c r="F56" s="2"/>
    </row>
    <row r="57" spans="2:6" ht="18" x14ac:dyDescent="0.35">
      <c r="B57" s="1"/>
      <c r="C57" s="1"/>
    </row>
    <row r="58" spans="2:6" ht="18" x14ac:dyDescent="0.35">
      <c r="B58" s="1"/>
      <c r="C58" s="1"/>
    </row>
    <row r="59" spans="2:6" ht="18" x14ac:dyDescent="0.35">
      <c r="B59" s="8"/>
      <c r="C59" s="1"/>
      <c r="D59" s="5"/>
      <c r="E59" s="2"/>
      <c r="F59" s="2"/>
    </row>
    <row r="60" spans="2:6" ht="18" x14ac:dyDescent="0.35">
      <c r="C60" s="1"/>
      <c r="E60" s="2"/>
      <c r="F60" s="2"/>
    </row>
    <row r="61" spans="2:6" ht="18" x14ac:dyDescent="0.35">
      <c r="B61" s="1"/>
      <c r="C61" s="1"/>
      <c r="D61" s="2"/>
      <c r="E61" s="2"/>
      <c r="F61" s="2"/>
    </row>
    <row r="62" spans="2:6" ht="18" x14ac:dyDescent="0.35">
      <c r="B62" s="1"/>
      <c r="C62" s="1"/>
    </row>
    <row r="63" spans="2:6" ht="18" x14ac:dyDescent="0.35">
      <c r="B63" s="1"/>
      <c r="C63" s="1"/>
      <c r="D63" s="2"/>
      <c r="E63" s="2"/>
      <c r="F63" s="2"/>
    </row>
    <row r="64" spans="2:6" ht="18" x14ac:dyDescent="0.35">
      <c r="B64" s="1"/>
      <c r="C64" s="1"/>
    </row>
    <row r="65" spans="2:3" ht="18" x14ac:dyDescent="0.35">
      <c r="B65" s="1"/>
      <c r="C65" s="1"/>
    </row>
    <row r="66" spans="2:3" ht="18" x14ac:dyDescent="0.35">
      <c r="B66" s="1"/>
      <c r="C66" s="1"/>
    </row>
    <row r="67" spans="2:3" ht="18" x14ac:dyDescent="0.35">
      <c r="B67" s="1"/>
      <c r="C67" s="1"/>
    </row>
    <row r="68" spans="2:3" ht="18" x14ac:dyDescent="0.35">
      <c r="B68" s="1"/>
      <c r="C68" s="1"/>
    </row>
    <row r="69" spans="2:3" ht="18" x14ac:dyDescent="0.35">
      <c r="B69" s="1"/>
      <c r="C69" s="1"/>
    </row>
    <row r="70" spans="2:3" ht="18" x14ac:dyDescent="0.35">
      <c r="B70" s="1"/>
      <c r="C70" s="1"/>
    </row>
    <row r="71" spans="2:3" ht="18" x14ac:dyDescent="0.35">
      <c r="B71" s="1"/>
      <c r="C71" s="1"/>
    </row>
    <row r="72" spans="2:3" ht="18" x14ac:dyDescent="0.35">
      <c r="B72" s="1"/>
      <c r="C72" s="1"/>
    </row>
    <row r="73" spans="2:3" ht="18" x14ac:dyDescent="0.35">
      <c r="B73" s="1"/>
      <c r="C73" s="1"/>
    </row>
    <row r="74" spans="2:3" ht="18" x14ac:dyDescent="0.35">
      <c r="B74" s="1"/>
      <c r="C74" s="1"/>
    </row>
    <row r="75" spans="2:3" ht="18" x14ac:dyDescent="0.35">
      <c r="B75" s="1"/>
      <c r="C75" s="1"/>
    </row>
    <row r="76" spans="2:3" ht="18" x14ac:dyDescent="0.35">
      <c r="B76" s="1"/>
      <c r="C76" s="1"/>
    </row>
    <row r="77" spans="2:3" ht="18" x14ac:dyDescent="0.35">
      <c r="B77" s="1"/>
      <c r="C77" s="1"/>
    </row>
    <row r="78" spans="2:3" ht="18" x14ac:dyDescent="0.35">
      <c r="B78" s="1"/>
      <c r="C78" s="1"/>
    </row>
    <row r="79" spans="2:3" ht="18" x14ac:dyDescent="0.35">
      <c r="B79" s="1"/>
      <c r="C79" s="1"/>
    </row>
    <row r="80" spans="2:3" ht="18" x14ac:dyDescent="0.35">
      <c r="B80" s="1"/>
      <c r="C80" s="1"/>
    </row>
    <row r="81" spans="2:3" ht="18" x14ac:dyDescent="0.35">
      <c r="B81" s="1"/>
      <c r="C81" s="1"/>
    </row>
    <row r="82" spans="2:3" ht="18" x14ac:dyDescent="0.35">
      <c r="B82" s="1"/>
      <c r="C82" s="1"/>
    </row>
    <row r="83" spans="2:3" ht="18" x14ac:dyDescent="0.35">
      <c r="B83" s="1"/>
      <c r="C83" s="1"/>
    </row>
    <row r="84" spans="2:3" ht="18" x14ac:dyDescent="0.35">
      <c r="B84" s="1"/>
      <c r="C84" s="1"/>
    </row>
    <row r="85" spans="2:3" ht="18" x14ac:dyDescent="0.35">
      <c r="B85" s="1"/>
      <c r="C85" s="1"/>
    </row>
    <row r="86" spans="2:3" ht="18" x14ac:dyDescent="0.35">
      <c r="B86" s="1"/>
      <c r="C86" s="1"/>
    </row>
    <row r="87" spans="2:3" ht="18" x14ac:dyDescent="0.35">
      <c r="B87" s="1"/>
      <c r="C87" s="1"/>
    </row>
    <row r="88" spans="2:3" ht="18" x14ac:dyDescent="0.35">
      <c r="B88" s="1"/>
      <c r="C88" s="1"/>
    </row>
    <row r="89" spans="2:3" ht="18" x14ac:dyDescent="0.35">
      <c r="B89" s="1"/>
      <c r="C89" s="1"/>
    </row>
    <row r="90" spans="2:3" ht="18" x14ac:dyDescent="0.35">
      <c r="B90" s="1"/>
      <c r="C90" s="1"/>
    </row>
    <row r="91" spans="2:3" ht="18" x14ac:dyDescent="0.35">
      <c r="B91" s="1"/>
      <c r="C91" s="1"/>
    </row>
    <row r="92" spans="2:3" ht="18" x14ac:dyDescent="0.35">
      <c r="B92" s="1"/>
      <c r="C92" s="1"/>
    </row>
    <row r="93" spans="2:3" ht="18" x14ac:dyDescent="0.35">
      <c r="B93" s="1"/>
      <c r="C93" s="1"/>
    </row>
    <row r="94" spans="2:3" ht="18" x14ac:dyDescent="0.35">
      <c r="B94" s="1"/>
      <c r="C94" s="1"/>
    </row>
    <row r="95" spans="2:3" ht="18" x14ac:dyDescent="0.35">
      <c r="B95" s="1"/>
      <c r="C95" s="1"/>
    </row>
    <row r="96" spans="2:3" ht="18" x14ac:dyDescent="0.35">
      <c r="B96" s="1"/>
      <c r="C96" s="1"/>
    </row>
    <row r="97" spans="2:3" ht="18" x14ac:dyDescent="0.35">
      <c r="B97" s="1"/>
      <c r="C97" s="1"/>
    </row>
    <row r="98" spans="2:3" ht="18" x14ac:dyDescent="0.35">
      <c r="B98" s="1"/>
      <c r="C98" s="1"/>
    </row>
    <row r="99" spans="2:3" ht="18" x14ac:dyDescent="0.35">
      <c r="B99" s="1"/>
      <c r="C99" s="1"/>
    </row>
    <row r="100" spans="2:3" ht="18" x14ac:dyDescent="0.35">
      <c r="B100" s="1"/>
      <c r="C100" s="1"/>
    </row>
    <row r="101" spans="2:3" ht="18" x14ac:dyDescent="0.35">
      <c r="B101" s="1"/>
      <c r="C101" s="1"/>
    </row>
    <row r="102" spans="2:3" ht="18" x14ac:dyDescent="0.35">
      <c r="B102" s="1"/>
      <c r="C102" s="1"/>
    </row>
    <row r="103" spans="2:3" ht="18" x14ac:dyDescent="0.35">
      <c r="B103" s="1"/>
      <c r="C103" s="1"/>
    </row>
    <row r="104" spans="2:3" ht="18" x14ac:dyDescent="0.35">
      <c r="B104" s="1"/>
      <c r="C104" s="1"/>
    </row>
    <row r="105" spans="2:3" ht="18" x14ac:dyDescent="0.35">
      <c r="B105" s="1"/>
      <c r="C105" s="1"/>
    </row>
    <row r="106" spans="2:3" ht="18" x14ac:dyDescent="0.35">
      <c r="B106" s="1"/>
      <c r="C106" s="1"/>
    </row>
    <row r="107" spans="2:3" ht="18" x14ac:dyDescent="0.35">
      <c r="B107" s="1"/>
      <c r="C107" s="1"/>
    </row>
    <row r="108" spans="2:3" ht="18" x14ac:dyDescent="0.35">
      <c r="B108" s="1"/>
      <c r="C108" s="1"/>
    </row>
    <row r="109" spans="2:3" ht="18" x14ac:dyDescent="0.35">
      <c r="B109" s="1"/>
      <c r="C109" s="1"/>
    </row>
    <row r="110" spans="2:3" ht="18" x14ac:dyDescent="0.35">
      <c r="B110" s="1"/>
      <c r="C110" s="1"/>
    </row>
    <row r="111" spans="2:3" ht="18" x14ac:dyDescent="0.35">
      <c r="B111" s="1"/>
      <c r="C111" s="1"/>
    </row>
    <row r="112" spans="2:3" ht="18" x14ac:dyDescent="0.35">
      <c r="B112" s="1"/>
      <c r="C112" s="1"/>
    </row>
    <row r="113" spans="2:3" ht="18" x14ac:dyDescent="0.35">
      <c r="B113" s="1"/>
      <c r="C113" s="1"/>
    </row>
    <row r="114" spans="2:3" ht="18" x14ac:dyDescent="0.35">
      <c r="B114" s="1"/>
      <c r="C114" s="1"/>
    </row>
    <row r="115" spans="2:3" ht="18" x14ac:dyDescent="0.35">
      <c r="B115" s="1"/>
      <c r="C115" s="1"/>
    </row>
    <row r="116" spans="2:3" ht="18" x14ac:dyDescent="0.35">
      <c r="B116" s="1"/>
      <c r="C116" s="1"/>
    </row>
    <row r="117" spans="2:3" ht="18" x14ac:dyDescent="0.35">
      <c r="B117" s="1"/>
      <c r="C117" s="1"/>
    </row>
    <row r="118" spans="2:3" ht="18" x14ac:dyDescent="0.35">
      <c r="B118" s="1"/>
      <c r="C118" s="1"/>
    </row>
    <row r="119" spans="2:3" ht="18" x14ac:dyDescent="0.35">
      <c r="B119" s="1"/>
      <c r="C119" s="1"/>
    </row>
    <row r="120" spans="2:3" ht="18" x14ac:dyDescent="0.35">
      <c r="B120" s="1"/>
      <c r="C120" s="1"/>
    </row>
    <row r="121" spans="2:3" ht="18" x14ac:dyDescent="0.35">
      <c r="B121" s="1"/>
      <c r="C121" s="1"/>
    </row>
    <row r="122" spans="2:3" ht="18" x14ac:dyDescent="0.35">
      <c r="B122" s="1"/>
      <c r="C122" s="1"/>
    </row>
    <row r="123" spans="2:3" ht="18" x14ac:dyDescent="0.35">
      <c r="B123" s="1"/>
      <c r="C123" s="1"/>
    </row>
    <row r="124" spans="2:3" ht="18" x14ac:dyDescent="0.35">
      <c r="B124" s="1"/>
      <c r="C124" s="1"/>
    </row>
    <row r="125" spans="2:3" ht="18" x14ac:dyDescent="0.35">
      <c r="B125" s="1"/>
      <c r="C125" s="1"/>
    </row>
    <row r="126" spans="2:3" ht="18" x14ac:dyDescent="0.35">
      <c r="B126" s="1"/>
      <c r="C126" s="1"/>
    </row>
    <row r="127" spans="2:3" ht="18" x14ac:dyDescent="0.35">
      <c r="B127" s="1"/>
      <c r="C127" s="1"/>
    </row>
    <row r="128" spans="2:3" ht="18" x14ac:dyDescent="0.35">
      <c r="B128" s="1"/>
      <c r="C128" s="1"/>
    </row>
    <row r="129" spans="2:3" ht="18" x14ac:dyDescent="0.35">
      <c r="B129" s="1"/>
      <c r="C129" s="1"/>
    </row>
    <row r="130" spans="2:3" ht="18" x14ac:dyDescent="0.35">
      <c r="B130" s="1"/>
      <c r="C130" s="1"/>
    </row>
    <row r="131" spans="2:3" ht="18" x14ac:dyDescent="0.35">
      <c r="B131" s="1"/>
      <c r="C131" s="1"/>
    </row>
    <row r="132" spans="2:3" ht="18" x14ac:dyDescent="0.35">
      <c r="B132" s="1"/>
      <c r="C132" s="1"/>
    </row>
    <row r="133" spans="2:3" ht="18" x14ac:dyDescent="0.35">
      <c r="B133" s="1"/>
      <c r="C133" s="1"/>
    </row>
    <row r="134" spans="2:3" ht="18" x14ac:dyDescent="0.35">
      <c r="B134" s="1"/>
      <c r="C134" s="1"/>
    </row>
    <row r="135" spans="2:3" ht="18" x14ac:dyDescent="0.35">
      <c r="B135" s="1"/>
      <c r="C135" s="1"/>
    </row>
    <row r="136" spans="2:3" ht="18" x14ac:dyDescent="0.35">
      <c r="B136" s="1"/>
      <c r="C136" s="1"/>
    </row>
    <row r="137" spans="2:3" ht="18" x14ac:dyDescent="0.35">
      <c r="B137" s="1"/>
      <c r="C137" s="1"/>
    </row>
    <row r="138" spans="2:3" ht="18" x14ac:dyDescent="0.35">
      <c r="B138" s="1"/>
      <c r="C138" s="1"/>
    </row>
    <row r="139" spans="2:3" ht="18" x14ac:dyDescent="0.35">
      <c r="B139" s="1"/>
      <c r="C139" s="1"/>
    </row>
    <row r="140" spans="2:3" ht="18" x14ac:dyDescent="0.35">
      <c r="B140" s="1"/>
      <c r="C140" s="1"/>
    </row>
    <row r="141" spans="2:3" ht="18" x14ac:dyDescent="0.35">
      <c r="B141" s="1"/>
      <c r="C141" s="1"/>
    </row>
    <row r="142" spans="2:3" ht="18" x14ac:dyDescent="0.35">
      <c r="B142" s="1"/>
      <c r="C142" s="1"/>
    </row>
    <row r="143" spans="2:3" ht="18" x14ac:dyDescent="0.35">
      <c r="B143" s="1"/>
      <c r="C143" s="1"/>
    </row>
    <row r="144" spans="2:3" ht="18" x14ac:dyDescent="0.35">
      <c r="B144" s="1"/>
      <c r="C144" s="1"/>
    </row>
    <row r="145" spans="2:3" ht="18" x14ac:dyDescent="0.35">
      <c r="B145" s="1"/>
      <c r="C145" s="1"/>
    </row>
    <row r="146" spans="2:3" ht="18" x14ac:dyDescent="0.35">
      <c r="B146" s="1"/>
      <c r="C146" s="1"/>
    </row>
    <row r="147" spans="2:3" ht="18" x14ac:dyDescent="0.35">
      <c r="B147" s="1"/>
      <c r="C147" s="1"/>
    </row>
    <row r="148" spans="2:3" ht="18" x14ac:dyDescent="0.35">
      <c r="B148" s="1"/>
      <c r="C148" s="1"/>
    </row>
    <row r="149" spans="2:3" ht="18" x14ac:dyDescent="0.35">
      <c r="B149" s="1"/>
      <c r="C149" s="1"/>
    </row>
    <row r="150" spans="2:3" ht="18" x14ac:dyDescent="0.35">
      <c r="B150" s="1"/>
      <c r="C150" s="1"/>
    </row>
    <row r="151" spans="2:3" ht="18" x14ac:dyDescent="0.35">
      <c r="B151" s="1"/>
      <c r="C151" s="1"/>
    </row>
    <row r="152" spans="2:3" ht="18" x14ac:dyDescent="0.35">
      <c r="B152" s="1"/>
      <c r="C152" s="1"/>
    </row>
    <row r="153" spans="2:3" ht="18" x14ac:dyDescent="0.35">
      <c r="B153" s="1"/>
      <c r="C153" s="1"/>
    </row>
    <row r="154" spans="2:3" ht="18" x14ac:dyDescent="0.35">
      <c r="B154" s="1"/>
      <c r="C154" s="1"/>
    </row>
    <row r="155" spans="2:3" ht="18" x14ac:dyDescent="0.35">
      <c r="B155" s="1"/>
      <c r="C155" s="1"/>
    </row>
    <row r="156" spans="2:3" ht="18" x14ac:dyDescent="0.35">
      <c r="B156" s="1"/>
      <c r="C156" s="1"/>
    </row>
    <row r="157" spans="2:3" ht="18" x14ac:dyDescent="0.35">
      <c r="B157" s="1"/>
      <c r="C157" s="1"/>
    </row>
    <row r="158" spans="2:3" ht="18" x14ac:dyDescent="0.35">
      <c r="B158" s="1"/>
      <c r="C158" s="1"/>
    </row>
    <row r="159" spans="2:3" ht="18" x14ac:dyDescent="0.35">
      <c r="B159" s="1"/>
      <c r="C159" s="1"/>
    </row>
    <row r="160" spans="2:3" ht="18" x14ac:dyDescent="0.35">
      <c r="B160" s="1"/>
      <c r="C160" s="1"/>
    </row>
    <row r="161" spans="2:3" ht="18" x14ac:dyDescent="0.35">
      <c r="B161" s="1"/>
      <c r="C161" s="1"/>
    </row>
    <row r="162" spans="2:3" ht="18" x14ac:dyDescent="0.35">
      <c r="B162" s="1"/>
      <c r="C162" s="1"/>
    </row>
    <row r="163" spans="2:3" ht="18" x14ac:dyDescent="0.35">
      <c r="B163" s="1"/>
      <c r="C163" s="1"/>
    </row>
    <row r="164" spans="2:3" ht="18" x14ac:dyDescent="0.35">
      <c r="B164" s="1"/>
      <c r="C164" s="1"/>
    </row>
    <row r="165" spans="2:3" ht="18" x14ac:dyDescent="0.35">
      <c r="B165" s="1"/>
      <c r="C165" s="1"/>
    </row>
    <row r="166" spans="2:3" ht="18" x14ac:dyDescent="0.35">
      <c r="B166" s="1"/>
      <c r="C166" s="1"/>
    </row>
    <row r="167" spans="2:3" ht="18" x14ac:dyDescent="0.35">
      <c r="B167" s="1"/>
      <c r="C167" s="1"/>
    </row>
    <row r="168" spans="2:3" ht="18" x14ac:dyDescent="0.35">
      <c r="B168" s="1"/>
      <c r="C168" s="1"/>
    </row>
    <row r="169" spans="2:3" ht="18" x14ac:dyDescent="0.35">
      <c r="B169" s="1"/>
      <c r="C169" s="1"/>
    </row>
    <row r="170" spans="2:3" ht="18" x14ac:dyDescent="0.35">
      <c r="B170" s="1"/>
      <c r="C170" s="1"/>
    </row>
    <row r="171" spans="2:3" ht="18" x14ac:dyDescent="0.35">
      <c r="B171" s="1"/>
      <c r="C171" s="1"/>
    </row>
    <row r="172" spans="2:3" ht="18" x14ac:dyDescent="0.35">
      <c r="B172" s="1"/>
      <c r="C172" s="1"/>
    </row>
    <row r="173" spans="2:3" ht="18" x14ac:dyDescent="0.35">
      <c r="B173" s="1"/>
      <c r="C173" s="1"/>
    </row>
    <row r="174" spans="2:3" ht="18" x14ac:dyDescent="0.35">
      <c r="B174" s="1"/>
      <c r="C174" s="1"/>
    </row>
    <row r="175" spans="2:3" ht="18" x14ac:dyDescent="0.35">
      <c r="B175" s="1"/>
      <c r="C175" s="1"/>
    </row>
    <row r="176" spans="2:3" ht="18" x14ac:dyDescent="0.35">
      <c r="B176" s="1"/>
      <c r="C176" s="1"/>
    </row>
    <row r="177" spans="2:3" ht="18" x14ac:dyDescent="0.35">
      <c r="B177" s="1"/>
      <c r="C177" s="1"/>
    </row>
    <row r="178" spans="2:3" ht="18" x14ac:dyDescent="0.35">
      <c r="B178" s="1"/>
      <c r="C178" s="1"/>
    </row>
    <row r="179" spans="2:3" ht="18" x14ac:dyDescent="0.35">
      <c r="B179" s="1"/>
      <c r="C179" s="1"/>
    </row>
    <row r="180" spans="2:3" ht="18" x14ac:dyDescent="0.35">
      <c r="B180" s="1"/>
      <c r="C180" s="1"/>
    </row>
    <row r="181" spans="2:3" ht="18" x14ac:dyDescent="0.35">
      <c r="B181" s="1"/>
      <c r="C181" s="1"/>
    </row>
    <row r="182" spans="2:3" ht="18" x14ac:dyDescent="0.35">
      <c r="B182" s="1"/>
      <c r="C182" s="1"/>
    </row>
    <row r="183" spans="2:3" ht="18" x14ac:dyDescent="0.35">
      <c r="B183" s="1"/>
      <c r="C183" s="1"/>
    </row>
    <row r="184" spans="2:3" ht="18" x14ac:dyDescent="0.35">
      <c r="B184" s="1"/>
      <c r="C184" s="1"/>
    </row>
    <row r="185" spans="2:3" ht="18" x14ac:dyDescent="0.35">
      <c r="B185" s="1"/>
      <c r="C185" s="1"/>
    </row>
    <row r="186" spans="2:3" ht="18" x14ac:dyDescent="0.35">
      <c r="B186" s="1"/>
      <c r="C186" s="1"/>
    </row>
    <row r="187" spans="2:3" ht="18" x14ac:dyDescent="0.35">
      <c r="B187" s="1"/>
      <c r="C187" s="1"/>
    </row>
    <row r="188" spans="2:3" ht="18" x14ac:dyDescent="0.35">
      <c r="B188" s="1"/>
      <c r="C188" s="1"/>
    </row>
    <row r="189" spans="2:3" ht="18" x14ac:dyDescent="0.35">
      <c r="B189" s="1"/>
      <c r="C189" s="1"/>
    </row>
    <row r="190" spans="2:3" ht="18" x14ac:dyDescent="0.35">
      <c r="B190" s="1"/>
      <c r="C190" s="1"/>
    </row>
    <row r="191" spans="2:3" ht="18" x14ac:dyDescent="0.35">
      <c r="B191" s="1"/>
      <c r="C191" s="1"/>
    </row>
    <row r="192" spans="2:3" ht="18" x14ac:dyDescent="0.35">
      <c r="B192" s="1"/>
      <c r="C192" s="1"/>
    </row>
    <row r="193" spans="2:3" ht="18" x14ac:dyDescent="0.35">
      <c r="B193" s="1"/>
      <c r="C193" s="1"/>
    </row>
    <row r="194" spans="2:3" ht="18" x14ac:dyDescent="0.35">
      <c r="B194" s="1"/>
      <c r="C194" s="1"/>
    </row>
    <row r="195" spans="2:3" ht="18" x14ac:dyDescent="0.35">
      <c r="B195" s="1"/>
      <c r="C195" s="1"/>
    </row>
    <row r="196" spans="2:3" ht="18" x14ac:dyDescent="0.35">
      <c r="B196" s="1"/>
      <c r="C196" s="1"/>
    </row>
    <row r="197" spans="2:3" ht="18" x14ac:dyDescent="0.35">
      <c r="B197" s="1"/>
      <c r="C197" s="1"/>
    </row>
    <row r="198" spans="2:3" ht="18" x14ac:dyDescent="0.35">
      <c r="B198" s="1"/>
      <c r="C198" s="1"/>
    </row>
    <row r="199" spans="2:3" ht="18" x14ac:dyDescent="0.35">
      <c r="B199" s="1"/>
      <c r="C199" s="1"/>
    </row>
    <row r="200" spans="2:3" ht="18" x14ac:dyDescent="0.35">
      <c r="B200" s="1"/>
      <c r="C200" s="1"/>
    </row>
    <row r="201" spans="2:3" ht="18" x14ac:dyDescent="0.35">
      <c r="B201" s="1"/>
      <c r="C201" s="1"/>
    </row>
    <row r="202" spans="2:3" ht="18" x14ac:dyDescent="0.35">
      <c r="B202" s="1"/>
      <c r="C202" s="1"/>
    </row>
    <row r="203" spans="2:3" ht="18" x14ac:dyDescent="0.35">
      <c r="B203" s="1"/>
      <c r="C203" s="1"/>
    </row>
    <row r="204" spans="2:3" ht="18" x14ac:dyDescent="0.35">
      <c r="B204" s="1"/>
      <c r="C204" s="1"/>
    </row>
    <row r="205" spans="2:3" ht="18" x14ac:dyDescent="0.35">
      <c r="B205" s="1"/>
      <c r="C205" s="1"/>
    </row>
    <row r="206" spans="2:3" ht="18" x14ac:dyDescent="0.35">
      <c r="B206" s="1"/>
      <c r="C206" s="1"/>
    </row>
    <row r="207" spans="2:3" ht="18" x14ac:dyDescent="0.35">
      <c r="B207" s="1"/>
      <c r="C207" s="1"/>
    </row>
    <row r="208" spans="2:3" ht="18" x14ac:dyDescent="0.35">
      <c r="B208" s="1"/>
      <c r="C208" s="1"/>
    </row>
    <row r="209" spans="2:3" ht="18" x14ac:dyDescent="0.35">
      <c r="B209" s="1"/>
      <c r="C209" s="1"/>
    </row>
    <row r="210" spans="2:3" ht="18" x14ac:dyDescent="0.35">
      <c r="B210" s="1"/>
      <c r="C210" s="1"/>
    </row>
    <row r="211" spans="2:3" ht="18" x14ac:dyDescent="0.35">
      <c r="B211" s="1"/>
      <c r="C211" s="1"/>
    </row>
    <row r="212" spans="2:3" ht="18" x14ac:dyDescent="0.35">
      <c r="B212" s="1"/>
      <c r="C212" s="1"/>
    </row>
    <row r="213" spans="2:3" ht="18" x14ac:dyDescent="0.35">
      <c r="B213" s="1"/>
      <c r="C213" s="1"/>
    </row>
    <row r="214" spans="2:3" ht="18" x14ac:dyDescent="0.35">
      <c r="B214" s="1"/>
      <c r="C214" s="1"/>
    </row>
    <row r="215" spans="2:3" ht="18" x14ac:dyDescent="0.35">
      <c r="B215" s="1"/>
      <c r="C215" s="1"/>
    </row>
    <row r="216" spans="2:3" ht="18" x14ac:dyDescent="0.35">
      <c r="B216" s="1"/>
      <c r="C216" s="1"/>
    </row>
    <row r="217" spans="2:3" ht="18" x14ac:dyDescent="0.35">
      <c r="B217" s="1"/>
      <c r="C217" s="1"/>
    </row>
    <row r="218" spans="2:3" ht="18" x14ac:dyDescent="0.35">
      <c r="B218" s="1"/>
      <c r="C218" s="1"/>
    </row>
    <row r="219" spans="2:3" ht="18" x14ac:dyDescent="0.35">
      <c r="B219" s="1"/>
      <c r="C219" s="1"/>
    </row>
    <row r="220" spans="2:3" ht="18" x14ac:dyDescent="0.35">
      <c r="B220" s="1"/>
      <c r="C220" s="1"/>
    </row>
    <row r="221" spans="2:3" ht="18" x14ac:dyDescent="0.35">
      <c r="B221" s="1"/>
      <c r="C221" s="1"/>
    </row>
    <row r="222" spans="2:3" ht="18" x14ac:dyDescent="0.35">
      <c r="B222" s="1"/>
      <c r="C222" s="1"/>
    </row>
    <row r="223" spans="2:3" ht="18" x14ac:dyDescent="0.35">
      <c r="B223" s="1"/>
      <c r="C223" s="1"/>
    </row>
    <row r="224" spans="2:3" ht="18" x14ac:dyDescent="0.35">
      <c r="B224" s="1"/>
      <c r="C224" s="1"/>
    </row>
    <row r="225" spans="2:3" ht="18" x14ac:dyDescent="0.35">
      <c r="B225" s="1"/>
      <c r="C225" s="1"/>
    </row>
    <row r="226" spans="2:3" ht="18" x14ac:dyDescent="0.35">
      <c r="B226" s="1"/>
      <c r="C226" s="1"/>
    </row>
    <row r="227" spans="2:3" ht="18" x14ac:dyDescent="0.35">
      <c r="B227" s="1"/>
      <c r="C227" s="1"/>
    </row>
    <row r="228" spans="2:3" ht="18" x14ac:dyDescent="0.35">
      <c r="B228" s="1"/>
      <c r="C228" s="1"/>
    </row>
    <row r="229" spans="2:3" ht="18" x14ac:dyDescent="0.35">
      <c r="B229" s="1"/>
      <c r="C229" s="1"/>
    </row>
    <row r="230" spans="2:3" ht="18" x14ac:dyDescent="0.35">
      <c r="B230" s="1"/>
      <c r="C230" s="1"/>
    </row>
    <row r="231" spans="2:3" ht="18" x14ac:dyDescent="0.35">
      <c r="B231" s="1"/>
      <c r="C231" s="1"/>
    </row>
    <row r="232" spans="2:3" ht="18" x14ac:dyDescent="0.35">
      <c r="B232" s="1"/>
      <c r="C232" s="1"/>
    </row>
    <row r="233" spans="2:3" ht="18" x14ac:dyDescent="0.35">
      <c r="B233" s="1"/>
      <c r="C233" s="1"/>
    </row>
    <row r="234" spans="2:3" ht="18" x14ac:dyDescent="0.35">
      <c r="B234" s="1"/>
      <c r="C234" s="1"/>
    </row>
    <row r="235" spans="2:3" ht="18" x14ac:dyDescent="0.35">
      <c r="B235" s="1"/>
      <c r="C235" s="1"/>
    </row>
    <row r="236" spans="2:3" ht="18" x14ac:dyDescent="0.35">
      <c r="B236" s="1"/>
      <c r="C236" s="1"/>
    </row>
    <row r="237" spans="2:3" ht="18" x14ac:dyDescent="0.35">
      <c r="B237" s="1"/>
      <c r="C237" s="1"/>
    </row>
    <row r="238" spans="2:3" ht="18" x14ac:dyDescent="0.35">
      <c r="B238" s="1"/>
      <c r="C238" s="1"/>
    </row>
    <row r="239" spans="2:3" ht="18" x14ac:dyDescent="0.35">
      <c r="B239" s="1"/>
      <c r="C239"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1833D-C29E-453D-8690-D93A49A817B9}">
  <sheetPr codeName="Blad2"/>
  <dimension ref="A1:AF79"/>
  <sheetViews>
    <sheetView topLeftCell="A44" workbookViewId="0">
      <selection activeCell="M72" sqref="M72"/>
    </sheetView>
  </sheetViews>
  <sheetFormatPr defaultRowHeight="12.75" x14ac:dyDescent="0.2"/>
  <cols>
    <col min="2" max="2" width="11.5703125" bestFit="1" customWidth="1"/>
    <col min="3" max="3" width="12.85546875" bestFit="1" customWidth="1"/>
    <col min="4" max="4" width="12.85546875" customWidth="1"/>
    <col min="5" max="8" width="11.85546875" bestFit="1" customWidth="1"/>
    <col min="20" max="20" width="11.85546875" bestFit="1" customWidth="1"/>
    <col min="21" max="21" width="9.28515625" bestFit="1" customWidth="1"/>
    <col min="22" max="24" width="11.85546875" bestFit="1" customWidth="1"/>
    <col min="25" max="25" width="9.28515625" bestFit="1" customWidth="1"/>
  </cols>
  <sheetData>
    <row r="1" spans="1:32" ht="14.25" x14ac:dyDescent="0.25">
      <c r="B1" s="113" t="s">
        <v>122</v>
      </c>
      <c r="C1" s="113"/>
      <c r="D1" s="113"/>
      <c r="E1" s="113"/>
      <c r="F1" s="17"/>
      <c r="G1" s="17"/>
      <c r="H1" s="17"/>
      <c r="I1" s="17"/>
      <c r="J1" s="17"/>
      <c r="K1" s="17"/>
      <c r="S1" s="113" t="s">
        <v>79</v>
      </c>
      <c r="T1" s="114"/>
      <c r="U1" s="114"/>
      <c r="V1" s="17"/>
      <c r="W1" s="17"/>
      <c r="X1" s="17"/>
      <c r="Y1" s="17"/>
      <c r="Z1" s="17"/>
      <c r="AA1" s="17"/>
    </row>
    <row r="2" spans="1:32" ht="14.25" x14ac:dyDescent="0.2">
      <c r="B2" s="115"/>
      <c r="C2" s="115"/>
      <c r="D2" s="115"/>
      <c r="E2" s="115"/>
      <c r="F2" s="115"/>
      <c r="G2" s="115"/>
      <c r="H2" s="115"/>
      <c r="I2" s="115"/>
      <c r="J2" s="115"/>
      <c r="K2" s="115"/>
      <c r="S2" s="115"/>
      <c r="T2" s="115"/>
      <c r="U2" s="115"/>
      <c r="V2" s="115"/>
      <c r="W2" s="115"/>
      <c r="X2" s="115"/>
      <c r="Y2" s="115"/>
      <c r="Z2" s="115"/>
      <c r="AA2" s="115"/>
    </row>
    <row r="3" spans="1:32" ht="14.25" x14ac:dyDescent="0.2">
      <c r="B3" s="12" t="s">
        <v>80</v>
      </c>
      <c r="C3" s="35">
        <v>3.5999999999999999E-3</v>
      </c>
      <c r="D3" s="35"/>
      <c r="E3" s="12">
        <f ca="1">OFFSET(database!D2,$A$8-2,0)</f>
        <v>302.39999999999998</v>
      </c>
      <c r="F3" s="12"/>
      <c r="G3" s="12"/>
      <c r="H3" s="12"/>
      <c r="I3" s="12"/>
      <c r="J3" s="12"/>
      <c r="K3" s="12"/>
      <c r="S3" s="18" t="s">
        <v>80</v>
      </c>
      <c r="T3" s="14">
        <f ca="1">OFFSET(database!D2,$R$8-2,0)</f>
        <v>280.6968</v>
      </c>
      <c r="U3" s="18"/>
      <c r="V3" s="18"/>
      <c r="W3" s="18"/>
      <c r="X3" s="18"/>
      <c r="Y3" s="18"/>
      <c r="Z3" s="18"/>
      <c r="AA3" s="18"/>
    </row>
    <row r="4" spans="1:32" ht="14.25" x14ac:dyDescent="0.2">
      <c r="B4" s="18" t="s">
        <v>81</v>
      </c>
      <c r="C4" s="35">
        <v>2.64E-2</v>
      </c>
      <c r="D4" s="35"/>
      <c r="E4" s="22">
        <f ca="1">OFFSET(database!D3,$A$8-2,0)</f>
        <v>0</v>
      </c>
      <c r="F4" s="18"/>
      <c r="G4" s="18"/>
      <c r="H4" s="18"/>
      <c r="I4" s="18"/>
      <c r="J4" s="18"/>
      <c r="K4" s="18"/>
      <c r="S4" s="18" t="s">
        <v>81</v>
      </c>
      <c r="T4" s="14">
        <f ca="1">OFFSET(database!D3,$R$8-2,0)</f>
        <v>0</v>
      </c>
      <c r="U4" s="18"/>
      <c r="V4" s="18"/>
      <c r="W4" s="18"/>
      <c r="X4" s="18"/>
      <c r="Y4" s="18"/>
      <c r="Z4" s="18"/>
      <c r="AA4" s="18"/>
    </row>
    <row r="5" spans="1:32" ht="14.25" x14ac:dyDescent="0.2">
      <c r="B5" s="37" t="s">
        <v>117</v>
      </c>
      <c r="C5" s="37"/>
      <c r="D5" s="37"/>
      <c r="E5" s="22">
        <f ca="1">OFFSET(database!D4,$A$8-2,0)</f>
        <v>302.39999999999998</v>
      </c>
      <c r="F5" s="37"/>
      <c r="G5" s="37"/>
      <c r="H5" s="37"/>
      <c r="I5" s="37"/>
      <c r="J5" s="37"/>
      <c r="K5" s="37"/>
      <c r="S5" s="37"/>
      <c r="T5" s="14">
        <f ca="1">OFFSET(database!D4,$R$8-2,0)</f>
        <v>280.6968</v>
      </c>
      <c r="U5" s="37"/>
      <c r="V5" s="37"/>
      <c r="W5" s="37"/>
      <c r="X5" s="37"/>
      <c r="Y5" s="37"/>
      <c r="Z5" s="37"/>
      <c r="AA5" s="37"/>
    </row>
    <row r="6" spans="1:32" ht="14.25" x14ac:dyDescent="0.2">
      <c r="B6" s="21" t="str">
        <f ca="1">OFFSET(database!E2,$A$8-2,0)</f>
        <v>De aanvullende verzekeringen van Renewi vullen je inkomen aan tot 70% van je oude loon. Zonder deze verzekering kom je uit op 25% van je oude loon</v>
      </c>
      <c r="C6" s="13"/>
      <c r="D6" s="13"/>
      <c r="E6" s="13"/>
      <c r="F6" s="13"/>
      <c r="G6" s="13"/>
      <c r="H6" s="13"/>
      <c r="I6" s="13"/>
      <c r="S6" s="21" t="str">
        <f ca="1">OFFSET(database!E2,$R$8-2,0)</f>
        <v>De aanvullende verzekeringen van Westenburg vullen je inkomen aan tot 133% van je oude loon. Zonder deze verzekering kom je uit op 25% van je oude loon</v>
      </c>
      <c r="T6" s="13"/>
      <c r="U6" s="13"/>
      <c r="V6" s="13"/>
      <c r="W6" s="13"/>
      <c r="X6" s="13"/>
      <c r="Y6" s="13"/>
    </row>
    <row r="7" spans="1:32" x14ac:dyDescent="0.2">
      <c r="B7" t="s">
        <v>18</v>
      </c>
      <c r="S7" t="s">
        <v>18</v>
      </c>
    </row>
    <row r="8" spans="1:32" x14ac:dyDescent="0.2">
      <c r="A8">
        <f>VLOOKUP(B1,database!$B:$Z,2,0)</f>
        <v>39</v>
      </c>
      <c r="B8" s="14" t="str">
        <f ca="1">OFFSET(database!F2,$A$8-2,0)</f>
        <v>tijdlijn</v>
      </c>
      <c r="C8" s="14" t="str">
        <f ca="1">OFFSET(database!G2,$A$8-2,0)</f>
        <v>Loondoorbetaling bij ziekte</v>
      </c>
      <c r="D8" s="14" t="str">
        <f ca="1">OFFSET(database!H2,$A$8-2,0)</f>
        <v>CAO-aanvulling*</v>
      </c>
      <c r="E8" s="14" t="str">
        <f ca="1">OFFSET(database!I2,$A$8-2,0)</f>
        <v>Nieuw loon</v>
      </c>
      <c r="F8" s="14" t="str">
        <f ca="1">OFFSET(database!J2,$A$8-2,0)</f>
        <v>WGA uitkering</v>
      </c>
      <c r="G8" s="14" t="str">
        <f ca="1">OFFSET(database!K2,$A$8-2,0)</f>
        <v>WGA Hiaat Uitgebreid</v>
      </c>
      <c r="H8" s="14" t="str">
        <f ca="1">OFFSET(database!L2,$A$8-2,0)</f>
        <v/>
      </c>
      <c r="I8" s="14">
        <f ca="1">OFFSET(database!M2,$A$8-2,0)</f>
        <v>0</v>
      </c>
      <c r="K8" t="s">
        <v>37</v>
      </c>
      <c r="L8" t="str">
        <f t="shared" ref="L8:Q8" ca="1" si="0">C8</f>
        <v>Loondoorbetaling bij ziekte</v>
      </c>
      <c r="M8" t="str">
        <f t="shared" ca="1" si="0"/>
        <v>CAO-aanvulling*</v>
      </c>
      <c r="N8" t="str">
        <f t="shared" ca="1" si="0"/>
        <v>Nieuw loon</v>
      </c>
      <c r="O8" t="str">
        <f t="shared" ca="1" si="0"/>
        <v>WGA uitkering</v>
      </c>
      <c r="P8" t="str">
        <f t="shared" ca="1" si="0"/>
        <v>WGA Hiaat Uitgebreid</v>
      </c>
      <c r="Q8" t="str">
        <f t="shared" ca="1" si="0"/>
        <v/>
      </c>
      <c r="R8">
        <f>VLOOKUP(S1,database!$B:$Z,2,0)</f>
        <v>30</v>
      </c>
      <c r="S8" s="14" t="str">
        <f ca="1">OFFSET(database!F2,$R$8-2,0)</f>
        <v>tijdlijn</v>
      </c>
      <c r="T8" s="14" t="str">
        <f ca="1">OFFSET(database!G2,$R$8-2,0)</f>
        <v>Loondoorbetaling bij ziekte</v>
      </c>
      <c r="U8" s="14" t="str">
        <f ca="1">OFFSET(database!I2,$R$8-2,0)</f>
        <v>Nieuw loon</v>
      </c>
      <c r="V8" s="14" t="str">
        <f ca="1">OFFSET(database!J2,$R$8-2,0)</f>
        <v>WGA uitkering (WIA index)</v>
      </c>
      <c r="W8" s="14" t="str">
        <f ca="1">OFFSET(database!K2,$R$8-2,0)</f>
        <v>WGA Hiaat Uitgebreid (WIA index)</v>
      </c>
      <c r="X8" s="14" t="str">
        <f ca="1">OFFSET(database!L2,$R$8-2,0)</f>
        <v xml:space="preserve">WIA Excedent </v>
      </c>
      <c r="Y8" s="14">
        <f ca="1">OFFSET(database!M2,$R$8-2,0)</f>
        <v>0</v>
      </c>
      <c r="AA8" t="s">
        <v>37</v>
      </c>
      <c r="AB8" t="str">
        <f ca="1">T8</f>
        <v>Loondoorbetaling bij ziekte</v>
      </c>
      <c r="AC8" t="str">
        <f ca="1">U8</f>
        <v>Nieuw loon</v>
      </c>
      <c r="AD8" t="str">
        <f ca="1">V8</f>
        <v>WGA uitkering (WIA index)</v>
      </c>
      <c r="AE8" t="str">
        <f ca="1">W8</f>
        <v>WGA Hiaat Uitgebreid (WIA index)</v>
      </c>
      <c r="AF8" t="str">
        <f ca="1">X8</f>
        <v xml:space="preserve">WIA Excedent </v>
      </c>
    </row>
    <row r="9" spans="1:32" x14ac:dyDescent="0.2">
      <c r="B9" s="14" t="str">
        <f ca="1">OFFSET(database!F3,$A$8-2,0)</f>
        <v>1e ziektejaar</v>
      </c>
      <c r="C9" s="20">
        <f ca="1">OFFSET(database!G3,$A$8-2,0)</f>
        <v>40000</v>
      </c>
      <c r="D9" s="20"/>
      <c r="E9" s="20">
        <f ca="1">OFFSET(database!I3,$A$8-2,0)</f>
        <v>0</v>
      </c>
      <c r="F9" s="20">
        <f ca="1">OFFSET(database!J3,$A$8-2,0)</f>
        <v>0</v>
      </c>
      <c r="G9" s="20">
        <f ca="1">OFFSET(database!K3,$A$8-2,0)</f>
        <v>0</v>
      </c>
      <c r="H9" s="20">
        <f ca="1">OFFSET(database!L3,$A$8-2,0)</f>
        <v>0</v>
      </c>
      <c r="I9" s="20">
        <f ca="1">OFFSET(database!M3,$A$8-2,0)</f>
        <v>0</v>
      </c>
      <c r="K9" t="s">
        <v>19</v>
      </c>
      <c r="L9" s="11">
        <f ca="1">C9/Inkomen</f>
        <v>1</v>
      </c>
      <c r="M9" s="11">
        <f>D9/Inkomen</f>
        <v>0</v>
      </c>
      <c r="N9" s="11"/>
      <c r="O9" s="11"/>
      <c r="P9" s="11"/>
      <c r="Q9" s="11"/>
      <c r="R9" s="11"/>
      <c r="S9" s="14" t="str">
        <f ca="1">OFFSET(database!F3,$R$8-2,0)</f>
        <v>1e ziektejaar</v>
      </c>
      <c r="T9" s="20">
        <f ca="1">OFFSET(database!G3,$R$8-2,0)</f>
        <v>40000</v>
      </c>
      <c r="U9" s="20">
        <f ca="1">OFFSET(database!I3,$R$8-2,0)</f>
        <v>0</v>
      </c>
      <c r="V9" s="20">
        <f ca="1">OFFSET(database!J3,$R$8-2,0)</f>
        <v>0</v>
      </c>
      <c r="W9" s="20">
        <f ca="1">OFFSET(database!K3,$R$8-2,0)</f>
        <v>0</v>
      </c>
      <c r="X9" s="20">
        <f ca="1">OFFSET(database!L3,$R$8-2,0)</f>
        <v>0</v>
      </c>
      <c r="Y9" s="20">
        <f ca="1">OFFSET(database!M3,$R$8-2,0)</f>
        <v>0</v>
      </c>
      <c r="AA9" t="s">
        <v>19</v>
      </c>
      <c r="AB9" s="11">
        <f ca="1">T9/Inkomen</f>
        <v>1</v>
      </c>
      <c r="AC9" s="11"/>
      <c r="AD9" s="11"/>
      <c r="AE9" s="11"/>
      <c r="AF9" s="11"/>
    </row>
    <row r="10" spans="1:32" x14ac:dyDescent="0.2">
      <c r="B10" s="14" t="str">
        <f ca="1">OFFSET(database!F4,$A$8-2,0)</f>
        <v>2e ziektejaar</v>
      </c>
      <c r="C10" s="20">
        <f ca="1">OFFSET(database!G4,$A$8-2,0)</f>
        <v>28000</v>
      </c>
      <c r="D10" s="20">
        <f ca="1">OFFSET(database!H4,$A$8-2,0)</f>
        <v>12000</v>
      </c>
      <c r="E10" s="20">
        <f ca="1">OFFSET(database!I4,$A$8-2,0)</f>
        <v>0</v>
      </c>
      <c r="F10" s="20">
        <f ca="1">OFFSET(database!J4,$A$8-2,0)</f>
        <v>0</v>
      </c>
      <c r="G10" s="20">
        <f ca="1">OFFSET(database!K4,$A$8-2,0)</f>
        <v>0</v>
      </c>
      <c r="H10" s="20">
        <f ca="1">OFFSET(database!L4,$A$8-2,0)</f>
        <v>0</v>
      </c>
      <c r="I10" s="20">
        <f ca="1">OFFSET(database!M4,$A$8-2,0)</f>
        <v>0</v>
      </c>
      <c r="K10" t="s">
        <v>20</v>
      </c>
      <c r="L10" s="11">
        <f ca="1">C10/Inkomen</f>
        <v>0.7</v>
      </c>
      <c r="M10" s="11">
        <f ca="1">D10/Inkomen</f>
        <v>0.3</v>
      </c>
      <c r="N10" s="11"/>
      <c r="O10" s="11"/>
      <c r="P10" s="11"/>
      <c r="Q10" s="11"/>
      <c r="R10" s="11"/>
      <c r="S10" s="14" t="str">
        <f ca="1">OFFSET(database!F4,$R$8-2,0)</f>
        <v>2e ziektejaar</v>
      </c>
      <c r="T10" s="20">
        <f ca="1">OFFSET(database!G4,$R$8-2,0)</f>
        <v>28000</v>
      </c>
      <c r="U10" s="20">
        <f ca="1">OFFSET(database!I4,$R$8-2,0)</f>
        <v>0</v>
      </c>
      <c r="V10" s="20">
        <f ca="1">OFFSET(database!J4,$R$8-2,0)</f>
        <v>0</v>
      </c>
      <c r="W10" s="20">
        <f ca="1">OFFSET(database!K4,$R$8-2,0)</f>
        <v>0</v>
      </c>
      <c r="X10" s="20">
        <f ca="1">OFFSET(database!L4,$R$8-2,0)</f>
        <v>0</v>
      </c>
      <c r="Y10" s="20">
        <f ca="1">OFFSET(database!M4,$R$8-2,0)</f>
        <v>0</v>
      </c>
      <c r="AA10" t="s">
        <v>20</v>
      </c>
      <c r="AB10" s="11">
        <f ca="1">T10/Inkomen</f>
        <v>0.7</v>
      </c>
      <c r="AC10" s="11"/>
      <c r="AD10" s="11"/>
      <c r="AE10" s="11"/>
      <c r="AF10" s="11"/>
    </row>
    <row r="11" spans="1:32" x14ac:dyDescent="0.2">
      <c r="B11" s="14" t="str">
        <f ca="1">OFFSET(database!F5,$A$8-2,0)</f>
        <v>Vanaf 3e jaar (max. 24 mnd)</v>
      </c>
      <c r="C11" s="20">
        <f ca="1">OFFSET(database!G5,$A$8-2,0)</f>
        <v>0</v>
      </c>
      <c r="D11" s="20"/>
      <c r="E11" s="20">
        <f ca="1">OFFSET(database!I5,$A$8-2,0)</f>
        <v>0</v>
      </c>
      <c r="F11" s="20">
        <f ca="1">OFFSET(database!J5,$A$8-2,0)</f>
        <v>28000</v>
      </c>
      <c r="G11" s="20">
        <f ca="1">OFFSET(database!K5,$A$8-2,0)</f>
        <v>0</v>
      </c>
      <c r="H11" s="20">
        <f ca="1">OFFSET(database!L5,$A$8-2,0)</f>
        <v>0</v>
      </c>
      <c r="I11" s="20">
        <f ca="1">OFFSET(database!M5,$A$8-2,0)</f>
        <v>0</v>
      </c>
      <c r="K11" t="s">
        <v>21</v>
      </c>
      <c r="L11" s="11">
        <v>0</v>
      </c>
      <c r="M11" s="11">
        <v>0</v>
      </c>
      <c r="N11" s="11">
        <f t="shared" ref="N11:Q16" ca="1" si="1">E11/Inkomen</f>
        <v>0</v>
      </c>
      <c r="O11" s="11">
        <f t="shared" ca="1" si="1"/>
        <v>0.7</v>
      </c>
      <c r="P11" s="11">
        <f t="shared" ca="1" si="1"/>
        <v>0</v>
      </c>
      <c r="Q11" s="11">
        <f t="shared" ca="1" si="1"/>
        <v>0</v>
      </c>
      <c r="R11" s="11"/>
      <c r="S11" s="14" t="str">
        <f ca="1">OFFSET(database!F5,$R$8-2,0)</f>
        <v>Vanaf 3e jaar (max. 24 mnd)</v>
      </c>
      <c r="T11" s="20">
        <f ca="1">OFFSET(database!G5,$R$8-2,0)</f>
        <v>0</v>
      </c>
      <c r="U11" s="20">
        <f ca="1">OFFSET(database!I5,$R$8-2,0)</f>
        <v>0</v>
      </c>
      <c r="V11" s="20">
        <f ca="1">OFFSET(database!J5,$R$8-2,0)</f>
        <v>28000</v>
      </c>
      <c r="W11" s="20">
        <f ca="1">OFFSET(database!K5,$R$8-2,0)</f>
        <v>25104.799999999996</v>
      </c>
      <c r="X11" s="20">
        <f ca="1">OFFSET(database!L5,$R$8-2,0)</f>
        <v>0</v>
      </c>
      <c r="Y11" s="20">
        <f ca="1">OFFSET(database!M5,$R$8-2,0)</f>
        <v>0</v>
      </c>
      <c r="AA11" t="s">
        <v>21</v>
      </c>
      <c r="AB11" s="11">
        <v>0</v>
      </c>
      <c r="AC11" s="11">
        <f t="shared" ref="AC11:AC16" ca="1" si="2">U11/Inkomen</f>
        <v>0</v>
      </c>
      <c r="AD11" s="11">
        <f t="shared" ref="AD11:AD16" ca="1" si="3">V11/Inkomen</f>
        <v>0.7</v>
      </c>
      <c r="AE11" s="11">
        <f t="shared" ref="AE11:AE16" ca="1" si="4">W11/Inkomen</f>
        <v>0.62761999999999984</v>
      </c>
      <c r="AF11" s="11">
        <f t="shared" ref="AF11:AF16" ca="1" si="5">X11/Inkomen</f>
        <v>0</v>
      </c>
    </row>
    <row r="12" spans="1:32" x14ac:dyDescent="0.2">
      <c r="B12" s="14" t="str">
        <f ca="1">OFFSET(database!F6,$A$8-2,0)</f>
        <v>Tot AOW leeftijd</v>
      </c>
      <c r="C12" s="20">
        <f ca="1">OFFSET(database!G6,$A$8-2,0)</f>
        <v>0</v>
      </c>
      <c r="D12" s="20"/>
      <c r="E12" s="20">
        <f ca="1">OFFSET(database!I6,$A$8-2,0)</f>
        <v>0</v>
      </c>
      <c r="F12" s="20">
        <f ca="1">OFFSET(database!J6,$A$8-2,0)</f>
        <v>9942.0999999999985</v>
      </c>
      <c r="G12" s="20">
        <f ca="1">OFFSET(database!K6,$A$8-2,0)</f>
        <v>18057.900000000001</v>
      </c>
      <c r="H12" s="20">
        <f ca="1">OFFSET(database!L6,$A$8-2,0)</f>
        <v>0</v>
      </c>
      <c r="I12" s="20">
        <f ca="1">OFFSET(database!M6,$A$8-2,0)</f>
        <v>0</v>
      </c>
      <c r="K12" t="s">
        <v>22</v>
      </c>
      <c r="L12" s="11">
        <v>0</v>
      </c>
      <c r="M12" s="11">
        <v>0</v>
      </c>
      <c r="N12" s="11">
        <f t="shared" ca="1" si="1"/>
        <v>0</v>
      </c>
      <c r="O12" s="11">
        <f t="shared" ca="1" si="1"/>
        <v>0.24855249999999995</v>
      </c>
      <c r="P12" s="11">
        <f t="shared" ca="1" si="1"/>
        <v>0.45144750000000006</v>
      </c>
      <c r="Q12" s="11">
        <f t="shared" ca="1" si="1"/>
        <v>0</v>
      </c>
      <c r="R12" s="11"/>
      <c r="S12" s="14" t="str">
        <f ca="1">OFFSET(database!F6,$R$8-2,0)</f>
        <v>tot max. leeftijd 68</v>
      </c>
      <c r="T12" s="20">
        <f ca="1">OFFSET(database!G6,$R$8-2,0)</f>
        <v>0</v>
      </c>
      <c r="U12" s="20">
        <f ca="1">OFFSET(database!I6,$R$8-2,0)</f>
        <v>0</v>
      </c>
      <c r="V12" s="20">
        <f ca="1">OFFSET(database!J6,$R$8-2,0)</f>
        <v>9942.0999999999985</v>
      </c>
      <c r="W12" s="20">
        <f ca="1">OFFSET(database!K6,$R$8-2,0)</f>
        <v>43162.7</v>
      </c>
      <c r="X12" s="20">
        <f ca="1">OFFSET(database!L6,$R$8-2,0)</f>
        <v>0</v>
      </c>
      <c r="Y12" s="20">
        <f ca="1">OFFSET(database!M6,$R$8-2,0)</f>
        <v>0</v>
      </c>
      <c r="AA12" t="s">
        <v>22</v>
      </c>
      <c r="AB12" s="11">
        <v>0</v>
      </c>
      <c r="AC12" s="11">
        <f t="shared" ca="1" si="2"/>
        <v>0</v>
      </c>
      <c r="AD12" s="11">
        <f t="shared" ca="1" si="3"/>
        <v>0.24855249999999995</v>
      </c>
      <c r="AE12" s="11">
        <f t="shared" ca="1" si="4"/>
        <v>1.0790674999999998</v>
      </c>
      <c r="AF12" s="11">
        <f t="shared" ca="1" si="5"/>
        <v>0</v>
      </c>
    </row>
    <row r="13" spans="1:32" x14ac:dyDescent="0.2">
      <c r="B13" s="14" t="str">
        <f ca="1">OFFSET(database!F7,$A$8-2,0)</f>
        <v/>
      </c>
      <c r="C13" s="20">
        <f ca="1">OFFSET(database!G7,$A$8-2,0)</f>
        <v>0</v>
      </c>
      <c r="D13" s="20"/>
      <c r="E13" s="20">
        <f ca="1">OFFSET(database!I7,$A$8-2,0)</f>
        <v>0</v>
      </c>
      <c r="F13" s="20">
        <f ca="1">OFFSET(database!J7,$A$8-2,0)</f>
        <v>9942.0999999999985</v>
      </c>
      <c r="G13" s="20">
        <f ca="1">OFFSET(database!K7,$A$8-2,0)</f>
        <v>18057.900000000001</v>
      </c>
      <c r="H13" s="20">
        <f ca="1">OFFSET(database!L7,$A$8-2,0)</f>
        <v>0</v>
      </c>
      <c r="I13" s="20">
        <f ca="1">OFFSET(database!M7,$A$8-2,0)</f>
        <v>0</v>
      </c>
      <c r="K13" t="s">
        <v>22</v>
      </c>
      <c r="L13" s="11">
        <v>0</v>
      </c>
      <c r="M13" s="11">
        <v>0</v>
      </c>
      <c r="N13" s="11">
        <f t="shared" ca="1" si="1"/>
        <v>0</v>
      </c>
      <c r="O13" s="11">
        <f t="shared" ca="1" si="1"/>
        <v>0.24855249999999995</v>
      </c>
      <c r="P13" s="11">
        <f t="shared" ca="1" si="1"/>
        <v>0.45144750000000006</v>
      </c>
      <c r="Q13" s="11">
        <f t="shared" ca="1" si="1"/>
        <v>0</v>
      </c>
      <c r="R13" s="11"/>
      <c r="S13" s="14" t="str">
        <f ca="1">OFFSET(database!F7,$R$8-2,0)</f>
        <v/>
      </c>
      <c r="T13" s="20">
        <f ca="1">OFFSET(database!G7,$R$8-2,0)</f>
        <v>0</v>
      </c>
      <c r="U13" s="20">
        <f ca="1">OFFSET(database!I7,$R$8-2,0)</f>
        <v>0</v>
      </c>
      <c r="V13" s="20">
        <f ca="1">OFFSET(database!J7,$R$8-2,0)</f>
        <v>9942.0999999999985</v>
      </c>
      <c r="W13" s="20">
        <f ca="1">OFFSET(database!K7,$R$8-2,0)</f>
        <v>43162.7</v>
      </c>
      <c r="X13" s="20">
        <f ca="1">OFFSET(database!L7,$R$8-2,0)</f>
        <v>0</v>
      </c>
      <c r="Y13" s="20">
        <f ca="1">OFFSET(database!M7,$R$8-2,0)</f>
        <v>0</v>
      </c>
      <c r="AA13" t="s">
        <v>22</v>
      </c>
      <c r="AB13" s="11">
        <v>0</v>
      </c>
      <c r="AC13" s="11">
        <f t="shared" ca="1" si="2"/>
        <v>0</v>
      </c>
      <c r="AD13" s="11">
        <f t="shared" ca="1" si="3"/>
        <v>0.24855249999999995</v>
      </c>
      <c r="AE13" s="11">
        <f t="shared" ca="1" si="4"/>
        <v>1.0790674999999998</v>
      </c>
      <c r="AF13" s="11">
        <f t="shared" ca="1" si="5"/>
        <v>0</v>
      </c>
    </row>
    <row r="14" spans="1:32" x14ac:dyDescent="0.2">
      <c r="B14" s="14" t="str">
        <f ca="1">OFFSET(database!F8,$A$8-2,0)</f>
        <v/>
      </c>
      <c r="C14" s="20">
        <f ca="1">OFFSET(database!G8,$A$8-2,0)</f>
        <v>0</v>
      </c>
      <c r="D14" s="20"/>
      <c r="E14" s="20">
        <f ca="1">OFFSET(database!I8,$A$8-2,0)</f>
        <v>0</v>
      </c>
      <c r="F14" s="20">
        <f ca="1">OFFSET(database!J8,$A$8-2,0)</f>
        <v>9942.0999999999985</v>
      </c>
      <c r="G14" s="20">
        <f ca="1">OFFSET(database!K8,$A$8-2,0)</f>
        <v>18057.900000000001</v>
      </c>
      <c r="H14" s="20">
        <f ca="1">OFFSET(database!L8,$A$8-2,0)</f>
        <v>0</v>
      </c>
      <c r="I14" s="20">
        <f ca="1">OFFSET(database!M8,$A$8-2,0)</f>
        <v>0</v>
      </c>
      <c r="K14" t="s">
        <v>22</v>
      </c>
      <c r="L14" s="11">
        <v>0</v>
      </c>
      <c r="M14" s="11">
        <v>0</v>
      </c>
      <c r="N14" s="11">
        <f t="shared" ca="1" si="1"/>
        <v>0</v>
      </c>
      <c r="O14" s="11">
        <f t="shared" ca="1" si="1"/>
        <v>0.24855249999999995</v>
      </c>
      <c r="P14" s="11">
        <f t="shared" ca="1" si="1"/>
        <v>0.45144750000000006</v>
      </c>
      <c r="Q14" s="11">
        <f t="shared" ca="1" si="1"/>
        <v>0</v>
      </c>
      <c r="S14" s="14" t="str">
        <f ca="1">OFFSET(database!F8,$R$8-2,0)</f>
        <v/>
      </c>
      <c r="T14" s="20">
        <f ca="1">OFFSET(database!G8,$R$8-2,0)</f>
        <v>0</v>
      </c>
      <c r="U14" s="20">
        <f ca="1">OFFSET(database!I8,$R$8-2,0)</f>
        <v>0</v>
      </c>
      <c r="V14" s="20">
        <f ca="1">OFFSET(database!J8,$R$8-2,0)</f>
        <v>9942.0999999999985</v>
      </c>
      <c r="W14" s="20">
        <f ca="1">OFFSET(database!K8,$R$8-2,0)</f>
        <v>43162.7</v>
      </c>
      <c r="X14" s="20">
        <f ca="1">OFFSET(database!L8,$R$8-2,0)</f>
        <v>0</v>
      </c>
      <c r="Y14" s="20">
        <f ca="1">OFFSET(database!M8,$R$8-2,0)</f>
        <v>0</v>
      </c>
      <c r="AA14" t="s">
        <v>22</v>
      </c>
      <c r="AB14" s="11">
        <v>0</v>
      </c>
      <c r="AC14" s="11">
        <f t="shared" ca="1" si="2"/>
        <v>0</v>
      </c>
      <c r="AD14" s="11">
        <f t="shared" ca="1" si="3"/>
        <v>0.24855249999999995</v>
      </c>
      <c r="AE14" s="11">
        <f t="shared" ca="1" si="4"/>
        <v>1.0790674999999998</v>
      </c>
      <c r="AF14" s="11">
        <f t="shared" ca="1" si="5"/>
        <v>0</v>
      </c>
    </row>
    <row r="15" spans="1:32" x14ac:dyDescent="0.2">
      <c r="B15" s="14" t="str">
        <f ca="1">OFFSET(database!F9,$A$8-2,0)</f>
        <v/>
      </c>
      <c r="C15" s="20">
        <f ca="1">OFFSET(database!G9,$A$8-2,0)</f>
        <v>0</v>
      </c>
      <c r="D15" s="20"/>
      <c r="E15" s="20">
        <f ca="1">OFFSET(database!I9,$A$8-2,0)</f>
        <v>0</v>
      </c>
      <c r="F15" s="20">
        <f ca="1">OFFSET(database!J9,$A$8-2,0)</f>
        <v>9942.0999999999985</v>
      </c>
      <c r="G15" s="20">
        <f ca="1">OFFSET(database!K9,$A$8-2,0)</f>
        <v>18057.900000000001</v>
      </c>
      <c r="H15" s="20">
        <f ca="1">OFFSET(database!L9,$A$8-2,0)</f>
        <v>0</v>
      </c>
      <c r="I15" s="20">
        <f ca="1">OFFSET(database!M9,$A$8-2,0)</f>
        <v>0</v>
      </c>
      <c r="K15" t="s">
        <v>22</v>
      </c>
      <c r="L15" s="11">
        <v>0</v>
      </c>
      <c r="M15" s="11">
        <v>0</v>
      </c>
      <c r="N15" s="11">
        <f t="shared" ca="1" si="1"/>
        <v>0</v>
      </c>
      <c r="O15" s="11">
        <f t="shared" ca="1" si="1"/>
        <v>0.24855249999999995</v>
      </c>
      <c r="P15" s="11">
        <f t="shared" ca="1" si="1"/>
        <v>0.45144750000000006</v>
      </c>
      <c r="Q15" s="11">
        <f t="shared" ca="1" si="1"/>
        <v>0</v>
      </c>
      <c r="S15" s="14" t="str">
        <f ca="1">OFFSET(database!F9,$R$8-2,0)</f>
        <v/>
      </c>
      <c r="T15" s="20">
        <f ca="1">OFFSET(database!G9,$R$8-2,0)</f>
        <v>0</v>
      </c>
      <c r="U15" s="20">
        <f ca="1">OFFSET(database!I9,$R$8-2,0)</f>
        <v>0</v>
      </c>
      <c r="V15" s="20">
        <f ca="1">OFFSET(database!J9,$R$8-2,0)</f>
        <v>9942.0999999999985</v>
      </c>
      <c r="W15" s="20">
        <f ca="1">OFFSET(database!K9,$R$8-2,0)</f>
        <v>43162.7</v>
      </c>
      <c r="X15" s="20">
        <f ca="1">OFFSET(database!L9,$R$8-2,0)</f>
        <v>0</v>
      </c>
      <c r="Y15" s="20">
        <f ca="1">OFFSET(database!M9,$R$8-2,0)</f>
        <v>0</v>
      </c>
      <c r="AA15" t="s">
        <v>22</v>
      </c>
      <c r="AB15" s="11">
        <v>0</v>
      </c>
      <c r="AC15" s="11">
        <f t="shared" ca="1" si="2"/>
        <v>0</v>
      </c>
      <c r="AD15" s="11">
        <f t="shared" ca="1" si="3"/>
        <v>0.24855249999999995</v>
      </c>
      <c r="AE15" s="11">
        <f t="shared" ca="1" si="4"/>
        <v>1.0790674999999998</v>
      </c>
      <c r="AF15" s="11">
        <f t="shared" ca="1" si="5"/>
        <v>0</v>
      </c>
    </row>
    <row r="16" spans="1:32" x14ac:dyDescent="0.2">
      <c r="B16" s="14" t="str">
        <f ca="1">OFFSET(database!F10,$A$8-2,0)</f>
        <v/>
      </c>
      <c r="C16" s="20">
        <f ca="1">OFFSET(database!G10,$A$8-2,0)</f>
        <v>0</v>
      </c>
      <c r="D16" s="20"/>
      <c r="E16" s="20">
        <f ca="1">OFFSET(database!I10,$A$8-2,0)</f>
        <v>0</v>
      </c>
      <c r="F16" s="20">
        <f ca="1">OFFSET(database!J10,$A$8-2,0)</f>
        <v>9942.0999999999985</v>
      </c>
      <c r="G16" s="20">
        <f ca="1">OFFSET(database!K10,$A$8-2,0)</f>
        <v>18057.900000000001</v>
      </c>
      <c r="H16" s="20">
        <f ca="1">OFFSET(database!L10,$A$8-2,0)</f>
        <v>0</v>
      </c>
      <c r="I16" s="20">
        <f ca="1">OFFSET(database!M10,$A$8-2,0)</f>
        <v>0</v>
      </c>
      <c r="K16" t="s">
        <v>22</v>
      </c>
      <c r="L16" s="11">
        <v>0</v>
      </c>
      <c r="M16" s="11">
        <v>0</v>
      </c>
      <c r="N16" s="11">
        <f t="shared" ca="1" si="1"/>
        <v>0</v>
      </c>
      <c r="O16" s="11">
        <f t="shared" ca="1" si="1"/>
        <v>0.24855249999999995</v>
      </c>
      <c r="P16" s="11">
        <f t="shared" ca="1" si="1"/>
        <v>0.45144750000000006</v>
      </c>
      <c r="Q16" s="11">
        <f t="shared" ca="1" si="1"/>
        <v>0</v>
      </c>
      <c r="S16" s="14" t="str">
        <f ca="1">OFFSET(database!F10,$R$8-2,0)</f>
        <v>tot AOW leeftijd indien &gt;68 jaar</v>
      </c>
      <c r="T16" s="20">
        <f ca="1">OFFSET(database!G10,$R$8-2,0)</f>
        <v>0</v>
      </c>
      <c r="U16" s="20">
        <f ca="1">OFFSET(database!I10,$R$8-2,0)</f>
        <v>0</v>
      </c>
      <c r="V16" s="20">
        <f ca="1">OFFSET(database!J10,$R$8-2,0)</f>
        <v>9942.0999999999985</v>
      </c>
      <c r="W16" s="20">
        <f ca="1">OFFSET(database!K10,$R$8-2,0)</f>
        <v>43162.7</v>
      </c>
      <c r="X16" s="20">
        <f ca="1">OFFSET(database!L10,$R$8-2,0)</f>
        <v>0</v>
      </c>
      <c r="Y16" s="20">
        <f ca="1">OFFSET(database!M10,$R$8-2,0)</f>
        <v>0</v>
      </c>
      <c r="AA16" t="s">
        <v>22</v>
      </c>
      <c r="AB16" s="11">
        <v>0</v>
      </c>
      <c r="AC16" s="11">
        <f t="shared" ca="1" si="2"/>
        <v>0</v>
      </c>
      <c r="AD16" s="11">
        <f t="shared" ca="1" si="3"/>
        <v>0.24855249999999995</v>
      </c>
      <c r="AE16" s="11">
        <f t="shared" ca="1" si="4"/>
        <v>1.0790674999999998</v>
      </c>
      <c r="AF16" s="11">
        <f t="shared" ca="1" si="5"/>
        <v>0</v>
      </c>
    </row>
    <row r="17" spans="2:32" x14ac:dyDescent="0.2">
      <c r="N17" s="11"/>
      <c r="AC17" s="11"/>
    </row>
    <row r="19" spans="2:32" x14ac:dyDescent="0.2">
      <c r="C19" s="10"/>
      <c r="D19" s="10"/>
      <c r="T19" s="10"/>
    </row>
    <row r="20" spans="2:32" x14ac:dyDescent="0.2">
      <c r="C20" s="10"/>
      <c r="D20" s="10"/>
      <c r="T20" s="10"/>
    </row>
    <row r="21" spans="2:32" x14ac:dyDescent="0.2">
      <c r="E21" s="5"/>
      <c r="F21" s="10"/>
      <c r="G21" s="10"/>
      <c r="H21" s="10"/>
      <c r="U21" s="5"/>
      <c r="V21" s="10"/>
      <c r="W21" s="10"/>
      <c r="X21" s="10"/>
    </row>
    <row r="22" spans="2:32" x14ac:dyDescent="0.2">
      <c r="E22" s="5"/>
      <c r="F22" s="10"/>
      <c r="G22" s="10"/>
      <c r="H22" s="10"/>
      <c r="U22" s="5"/>
      <c r="V22" s="10"/>
      <c r="W22" s="10"/>
      <c r="X22" s="10"/>
    </row>
    <row r="23" spans="2:32" x14ac:dyDescent="0.2">
      <c r="E23" s="5"/>
      <c r="F23" s="10"/>
      <c r="G23" s="10"/>
      <c r="H23" s="10"/>
      <c r="U23" s="5"/>
      <c r="V23" s="10"/>
      <c r="W23" s="10"/>
      <c r="X23" s="10"/>
    </row>
    <row r="24" spans="2:32" x14ac:dyDescent="0.2">
      <c r="E24" s="5"/>
      <c r="F24" s="10"/>
      <c r="G24" s="10"/>
      <c r="H24" s="10"/>
      <c r="U24" s="5"/>
      <c r="V24" s="10"/>
      <c r="W24" s="10"/>
      <c r="X24" s="10"/>
    </row>
    <row r="25" spans="2:32" ht="14.25" x14ac:dyDescent="0.2">
      <c r="B25" s="37" t="s">
        <v>116</v>
      </c>
      <c r="C25" s="37"/>
      <c r="D25" s="37"/>
      <c r="E25" s="37"/>
      <c r="F25" s="37"/>
      <c r="G25" s="37"/>
      <c r="H25" s="37"/>
      <c r="I25" s="37"/>
      <c r="J25" s="37"/>
      <c r="K25" s="37"/>
      <c r="S25" s="116"/>
      <c r="T25" s="116"/>
      <c r="U25" s="116"/>
      <c r="V25" s="116"/>
      <c r="W25" s="116"/>
      <c r="X25" s="116"/>
      <c r="Y25" s="116"/>
      <c r="Z25" s="116"/>
      <c r="AA25" s="116"/>
    </row>
    <row r="26" spans="2:32" ht="14.25" x14ac:dyDescent="0.2">
      <c r="B26" s="37" t="str">
        <f ca="1">OFFSET(database!E3,$A$8-2,0)</f>
        <v>De aanvullende verzekeringen van Renewi vullen je inkomen aan tot 83% van je oude loon. Zonder deze verzekering kom je uit op 60% van je oude loon</v>
      </c>
      <c r="C26" s="37"/>
      <c r="D26" s="37"/>
      <c r="E26" s="37"/>
      <c r="F26" s="37"/>
      <c r="G26" s="37"/>
      <c r="H26" s="37"/>
      <c r="I26" s="37"/>
      <c r="J26" s="37"/>
      <c r="K26" s="37"/>
      <c r="S26" s="37" t="e">
        <f ca="1">OFFSET(database!E3,$R$8-2,0)</f>
        <v>#DIV/0!</v>
      </c>
      <c r="T26" s="37"/>
      <c r="U26" s="37"/>
      <c r="V26" s="37"/>
      <c r="W26" s="37"/>
      <c r="X26" s="37"/>
      <c r="Y26" s="37"/>
      <c r="Z26" s="37"/>
      <c r="AA26" s="37"/>
    </row>
    <row r="28" spans="2:32" x14ac:dyDescent="0.2">
      <c r="B28" t="s">
        <v>24</v>
      </c>
      <c r="S28" t="s">
        <v>24</v>
      </c>
    </row>
    <row r="29" spans="2:32" x14ac:dyDescent="0.2">
      <c r="B29" s="14" t="str">
        <f ca="1">OFFSET(database!F2,$A$8-2,0)</f>
        <v>tijdlijn</v>
      </c>
      <c r="C29" s="14" t="str">
        <f ca="1">OFFSET(database!N2,$A$8-2,0)</f>
        <v>Loondoorbetaling bij ziekte</v>
      </c>
      <c r="D29" s="14" t="str">
        <f ca="1">OFFSET(database!O2,$A$8-2,0)</f>
        <v>CAO-aanvulling*</v>
      </c>
      <c r="E29" s="14" t="str">
        <f ca="1">OFFSET(database!P2,$A$8-2,0)</f>
        <v>Nieuw loon</v>
      </c>
      <c r="F29" s="14" t="str">
        <f ca="1">OFFSET(database!Q2,$A$8-2,0)</f>
        <v>WGA uitkering</v>
      </c>
      <c r="G29" s="14" t="str">
        <f ca="1">OFFSET(database!R2,$A$8-2,0)</f>
        <v>WGA Hiaat Uitgebreid</v>
      </c>
      <c r="H29" s="14" t="str">
        <f ca="1">OFFSET(database!S2,$A$8-2,0)</f>
        <v/>
      </c>
      <c r="L29" t="str">
        <f t="shared" ref="L29:Q29" ca="1" si="6">C29</f>
        <v>Loondoorbetaling bij ziekte</v>
      </c>
      <c r="M29" t="str">
        <f t="shared" ca="1" si="6"/>
        <v>CAO-aanvulling*</v>
      </c>
      <c r="N29" t="str">
        <f t="shared" ca="1" si="6"/>
        <v>Nieuw loon</v>
      </c>
      <c r="O29" t="str">
        <f t="shared" ca="1" si="6"/>
        <v>WGA uitkering</v>
      </c>
      <c r="P29" t="str">
        <f t="shared" ca="1" si="6"/>
        <v>WGA Hiaat Uitgebreid</v>
      </c>
      <c r="Q29" t="str">
        <f t="shared" ca="1" si="6"/>
        <v/>
      </c>
      <c r="S29" s="14" t="str">
        <f ca="1">OFFSET(database!F2,$R$8-2,0)</f>
        <v>tijdlijn</v>
      </c>
      <c r="T29" s="14" t="str">
        <f ca="1">OFFSET(database!N2,$R$8-2,0)</f>
        <v>Loondoorbetaling bij ziekte</v>
      </c>
      <c r="U29" s="14" t="str">
        <f ca="1">OFFSET(database!P2,$R$8-2,0)</f>
        <v>Nieuw loon</v>
      </c>
      <c r="V29" s="14" t="str">
        <f ca="1">OFFSET(database!Q2,$R$8-2,0)</f>
        <v>WGA uitkering (WIA index)</v>
      </c>
      <c r="W29" s="14" t="str">
        <f ca="1">OFFSET(database!R2,$R$8-2,0)</f>
        <v>WGA Hiaat Uitgebreid (WIA index)</v>
      </c>
      <c r="X29" s="14" t="str">
        <f ca="1">OFFSET(database!S2,$R$8-2,0)</f>
        <v xml:space="preserve">WIA Excedent </v>
      </c>
      <c r="AB29" t="str">
        <f ca="1">T29</f>
        <v>Loondoorbetaling bij ziekte</v>
      </c>
      <c r="AC29" t="str">
        <f ca="1">U29</f>
        <v>Nieuw loon</v>
      </c>
      <c r="AD29" t="str">
        <f ca="1">V29</f>
        <v>WGA uitkering (WIA index)</v>
      </c>
      <c r="AE29" t="str">
        <f ca="1">W29</f>
        <v>WGA Hiaat Uitgebreid (WIA index)</v>
      </c>
      <c r="AF29" t="str">
        <f ca="1">X29</f>
        <v xml:space="preserve">WIA Excedent </v>
      </c>
    </row>
    <row r="30" spans="2:32" x14ac:dyDescent="0.2">
      <c r="B30" s="14" t="str">
        <f ca="1">OFFSET(database!F3,$A$8-2,0)</f>
        <v>1e ziektejaar</v>
      </c>
      <c r="C30" s="20">
        <f ca="1">OFFSET(database!N3,$A$8-2,0)</f>
        <v>40000</v>
      </c>
      <c r="D30" s="20"/>
      <c r="E30" s="20">
        <f ca="1">OFFSET(database!P3,$A$8-2,0)</f>
        <v>0</v>
      </c>
      <c r="F30" s="20">
        <f ca="1">OFFSET(database!Q3,$A$8-2,0)</f>
        <v>0</v>
      </c>
      <c r="G30" s="20">
        <f ca="1">OFFSET(database!R3,$A$8-2,0)</f>
        <v>0</v>
      </c>
      <c r="H30" s="20">
        <f ca="1">OFFSET(database!S3,$A$8-2,0)</f>
        <v>0</v>
      </c>
      <c r="I30" s="3"/>
      <c r="K30" t="s">
        <v>19</v>
      </c>
      <c r="L30" s="11">
        <f ca="1">C30/Inkomen</f>
        <v>1</v>
      </c>
      <c r="M30" s="11"/>
      <c r="N30" s="11"/>
      <c r="O30" s="11"/>
      <c r="P30" s="11"/>
      <c r="Q30" s="11"/>
      <c r="R30" s="11"/>
      <c r="S30" s="14" t="str">
        <f ca="1">OFFSET(database!F3,$R$8-2,0)</f>
        <v>1e ziektejaar</v>
      </c>
      <c r="T30" s="20">
        <f ca="1">OFFSET(database!N3,$R$8-2,0)</f>
        <v>40000</v>
      </c>
      <c r="U30" s="20">
        <f ca="1">OFFSET(database!P3,$R$8-2,0)</f>
        <v>0</v>
      </c>
      <c r="V30" s="20">
        <f ca="1">OFFSET(database!Q3,$R$8-2,0)</f>
        <v>0</v>
      </c>
      <c r="W30" s="20">
        <f ca="1">OFFSET(database!R3,$R$8-2,0)</f>
        <v>0</v>
      </c>
      <c r="X30" s="20">
        <f ca="1">OFFSET(database!S3,$R$8-2,0)</f>
        <v>0</v>
      </c>
      <c r="Y30" s="3"/>
      <c r="AA30" t="s">
        <v>19</v>
      </c>
      <c r="AB30" s="11">
        <f ca="1">T30/Inkomen</f>
        <v>1</v>
      </c>
      <c r="AC30" s="11"/>
      <c r="AD30" s="11"/>
      <c r="AE30" s="11"/>
      <c r="AF30" s="11"/>
    </row>
    <row r="31" spans="2:32" x14ac:dyDescent="0.2">
      <c r="B31" s="14" t="str">
        <f ca="1">OFFSET(database!F4,$A$8-2,0)</f>
        <v>2e ziektejaar</v>
      </c>
      <c r="C31" s="20">
        <f ca="1">OFFSET(database!N4,$A$8-2,0)</f>
        <v>28000</v>
      </c>
      <c r="D31" s="20">
        <f ca="1">OFFSET(database!O4,$A$8-2,0)</f>
        <v>12000</v>
      </c>
      <c r="E31" s="20">
        <f ca="1">OFFSET(database!P4,$A$8-2,0)</f>
        <v>0</v>
      </c>
      <c r="F31" s="20">
        <f ca="1">OFFSET(database!Q4,$A$8-2,0)</f>
        <v>0</v>
      </c>
      <c r="G31" s="20">
        <f ca="1">OFFSET(database!R4,$A$8-2,0)</f>
        <v>0</v>
      </c>
      <c r="H31" s="20">
        <f ca="1">OFFSET(database!S4,$A$8-2,0)</f>
        <v>0</v>
      </c>
      <c r="I31" s="3"/>
      <c r="K31" t="s">
        <v>20</v>
      </c>
      <c r="L31" s="11">
        <f ca="1">C31/Inkomen</f>
        <v>0.7</v>
      </c>
      <c r="M31" s="11">
        <f ca="1">D31/Inkomen</f>
        <v>0.3</v>
      </c>
      <c r="N31" s="11"/>
      <c r="O31" s="11"/>
      <c r="P31" s="11"/>
      <c r="Q31" s="11"/>
      <c r="R31" s="11"/>
      <c r="S31" s="14" t="str">
        <f ca="1">OFFSET(database!F4,$R$8-2,0)</f>
        <v>2e ziektejaar</v>
      </c>
      <c r="T31" s="20">
        <f ca="1">OFFSET(database!N4,$R$8-2,0)</f>
        <v>28000</v>
      </c>
      <c r="U31" s="20">
        <f ca="1">OFFSET(database!P4,$R$8-2,0)</f>
        <v>0</v>
      </c>
      <c r="V31" s="20">
        <f ca="1">OFFSET(database!Q4,$R$8-2,0)</f>
        <v>0</v>
      </c>
      <c r="W31" s="20">
        <f ca="1">OFFSET(database!R4,$R$8-2,0)</f>
        <v>0</v>
      </c>
      <c r="X31" s="20">
        <f ca="1">OFFSET(database!S4,$R$8-2,0)</f>
        <v>0</v>
      </c>
      <c r="Y31" s="3"/>
      <c r="AA31" t="s">
        <v>20</v>
      </c>
      <c r="AB31" s="11">
        <f ca="1">T31/Inkomen</f>
        <v>0.7</v>
      </c>
      <c r="AC31" s="11"/>
      <c r="AD31" s="11"/>
      <c r="AE31" s="11"/>
      <c r="AF31" s="11"/>
    </row>
    <row r="32" spans="2:32" x14ac:dyDescent="0.2">
      <c r="B32" s="14" t="str">
        <f ca="1">OFFSET(database!F5,$A$8-2,0)</f>
        <v>Vanaf 3e jaar (max. 24 mnd)</v>
      </c>
      <c r="C32" s="20">
        <f ca="1">OFFSET(database!N5,$A$8-2,0)</f>
        <v>0</v>
      </c>
      <c r="D32" s="20"/>
      <c r="E32" s="20">
        <f ca="1">OFFSET(database!P5,$A$8-2,0)</f>
        <v>10000</v>
      </c>
      <c r="F32" s="20">
        <f ca="1">OFFSET(database!Q5,$A$8-2,0)</f>
        <v>21000</v>
      </c>
      <c r="G32" s="20">
        <f ca="1">OFFSET(database!R5,$A$8-2,0)</f>
        <v>2000</v>
      </c>
      <c r="H32" s="20">
        <f ca="1">OFFSET(database!S5,$A$8-2,0)</f>
        <v>0</v>
      </c>
      <c r="K32" t="s">
        <v>21</v>
      </c>
      <c r="L32" s="11"/>
      <c r="M32" s="11"/>
      <c r="N32" s="11">
        <f t="shared" ref="N32:Q37" ca="1" si="7">E32/Inkomen</f>
        <v>0.25</v>
      </c>
      <c r="O32" s="11">
        <f t="shared" ca="1" si="7"/>
        <v>0.52500000000000002</v>
      </c>
      <c r="P32" s="11">
        <f t="shared" ca="1" si="7"/>
        <v>0.05</v>
      </c>
      <c r="Q32" s="11">
        <f t="shared" ca="1" si="7"/>
        <v>0</v>
      </c>
      <c r="R32" s="11"/>
      <c r="S32" s="14" t="str">
        <f ca="1">OFFSET(database!F5,$R$8-2,0)</f>
        <v>Vanaf 3e jaar (max. 24 mnd)</v>
      </c>
      <c r="T32" s="20">
        <f ca="1">OFFSET(database!N5,$R$8-2,0)</f>
        <v>0</v>
      </c>
      <c r="U32" s="20">
        <f ca="1">OFFSET(database!P5,$R$8-2,0)</f>
        <v>10000</v>
      </c>
      <c r="V32" s="20">
        <f ca="1">OFFSET(database!Q5,$R$8-2,0)</f>
        <v>21000</v>
      </c>
      <c r="W32" s="20" t="e">
        <f ca="1">OFFSET(database!R5,$R$8-2,0)</f>
        <v>#DIV/0!</v>
      </c>
      <c r="X32" s="20">
        <f ca="1">OFFSET(database!S5,$R$8-2,0)</f>
        <v>0</v>
      </c>
      <c r="AA32" t="s">
        <v>21</v>
      </c>
      <c r="AB32" s="11"/>
      <c r="AC32" s="11">
        <f t="shared" ref="AC32:AC37" ca="1" si="8">U32/Inkomen</f>
        <v>0.25</v>
      </c>
      <c r="AD32" s="11">
        <f t="shared" ref="AD32:AD37" ca="1" si="9">V32/Inkomen</f>
        <v>0.52500000000000002</v>
      </c>
      <c r="AE32" s="11" t="e">
        <f t="shared" ref="AE32:AE37" ca="1" si="10">W32/Inkomen</f>
        <v>#DIV/0!</v>
      </c>
      <c r="AF32" s="11">
        <f t="shared" ref="AF32:AF37" ca="1" si="11">X32/Inkomen</f>
        <v>0</v>
      </c>
    </row>
    <row r="33" spans="2:32" x14ac:dyDescent="0.2">
      <c r="B33" s="14" t="str">
        <f ca="1">OFFSET(database!F6,$A$8-2,0)</f>
        <v>Tot AOW leeftijd</v>
      </c>
      <c r="C33" s="20">
        <f ca="1">OFFSET(database!N6,$A$8-2,0)</f>
        <v>0</v>
      </c>
      <c r="D33" s="20"/>
      <c r="E33" s="20">
        <f ca="1">OFFSET(database!P6,$A$8-2,0)</f>
        <v>10000</v>
      </c>
      <c r="F33" s="20">
        <f ca="1">OFFSET(database!Q6,$A$8-2,0)</f>
        <v>14000</v>
      </c>
      <c r="G33" s="20">
        <f ca="1">OFFSET(database!R6,$A$8-2,0)</f>
        <v>9000</v>
      </c>
      <c r="H33" s="20">
        <f ca="1">OFFSET(database!S6,$A$8-2,0)</f>
        <v>0</v>
      </c>
      <c r="K33" t="s">
        <v>22</v>
      </c>
      <c r="L33" s="11"/>
      <c r="M33" s="11"/>
      <c r="N33" s="11">
        <f t="shared" ca="1" si="7"/>
        <v>0.25</v>
      </c>
      <c r="O33" s="11">
        <f t="shared" ca="1" si="7"/>
        <v>0.35</v>
      </c>
      <c r="P33" s="11">
        <f t="shared" ca="1" si="7"/>
        <v>0.22500000000000001</v>
      </c>
      <c r="Q33" s="11">
        <f t="shared" ca="1" si="7"/>
        <v>0</v>
      </c>
      <c r="R33" s="11"/>
      <c r="S33" s="14" t="str">
        <f ca="1">OFFSET(database!F6,$R$8-2,0)</f>
        <v>tot max. leeftijd 68</v>
      </c>
      <c r="T33" s="20">
        <f ca="1">OFFSET(database!N6,$R$8-2,0)</f>
        <v>0</v>
      </c>
      <c r="U33" s="20">
        <f ca="1">OFFSET(database!P6,$R$8-2,0)</f>
        <v>10000</v>
      </c>
      <c r="V33" s="20">
        <f ca="1">OFFSET(database!Q6,$R$8-2,0)</f>
        <v>14000</v>
      </c>
      <c r="W33" s="20" t="e">
        <f ca="1">OFFSET(database!R6,$R$8-2,0)</f>
        <v>#DIV/0!</v>
      </c>
      <c r="X33" s="20">
        <f ca="1">OFFSET(database!S6,$R$8-2,0)</f>
        <v>0</v>
      </c>
      <c r="AA33" t="s">
        <v>22</v>
      </c>
      <c r="AB33" s="11"/>
      <c r="AC33" s="11">
        <f t="shared" ca="1" si="8"/>
        <v>0.25</v>
      </c>
      <c r="AD33" s="11">
        <f t="shared" ca="1" si="9"/>
        <v>0.35</v>
      </c>
      <c r="AE33" s="11" t="e">
        <f t="shared" ca="1" si="10"/>
        <v>#DIV/0!</v>
      </c>
      <c r="AF33" s="11">
        <f t="shared" ca="1" si="11"/>
        <v>0</v>
      </c>
    </row>
    <row r="34" spans="2:32" x14ac:dyDescent="0.2">
      <c r="B34" s="14" t="str">
        <f ca="1">OFFSET(database!F7,$A$8-2,0)</f>
        <v/>
      </c>
      <c r="C34" s="20">
        <f ca="1">OFFSET(database!N7,$A$8-2,0)</f>
        <v>0</v>
      </c>
      <c r="D34" s="20"/>
      <c r="E34" s="20">
        <f ca="1">OFFSET(database!P7,$A$8-2,0)</f>
        <v>10000</v>
      </c>
      <c r="F34" s="20">
        <f ca="1">OFFSET(database!Q7,$A$8-2,0)</f>
        <v>14000</v>
      </c>
      <c r="G34" s="20">
        <f ca="1">OFFSET(database!R7,$A$8-2,0)</f>
        <v>9000</v>
      </c>
      <c r="H34" s="20">
        <f ca="1">OFFSET(database!S7,$A$8-2,0)</f>
        <v>0</v>
      </c>
      <c r="L34" s="11"/>
      <c r="M34" s="11"/>
      <c r="N34" s="11">
        <f t="shared" ca="1" si="7"/>
        <v>0.25</v>
      </c>
      <c r="O34" s="11">
        <f t="shared" ca="1" si="7"/>
        <v>0.35</v>
      </c>
      <c r="P34" s="11">
        <f t="shared" ca="1" si="7"/>
        <v>0.22500000000000001</v>
      </c>
      <c r="Q34" s="11">
        <f t="shared" ca="1" si="7"/>
        <v>0</v>
      </c>
      <c r="R34" s="11"/>
      <c r="S34" s="14" t="str">
        <f ca="1">OFFSET(database!F7,$R$8-2,0)</f>
        <v/>
      </c>
      <c r="T34" s="20">
        <f ca="1">OFFSET(database!N7,$R$8-2,0)</f>
        <v>0</v>
      </c>
      <c r="U34" s="20">
        <f ca="1">OFFSET(database!P7,$R$8-2,0)</f>
        <v>10000</v>
      </c>
      <c r="V34" s="20">
        <f ca="1">OFFSET(database!Q7,$R$8-2,0)</f>
        <v>14000</v>
      </c>
      <c r="W34" s="20" t="e">
        <f ca="1">OFFSET(database!R7,$R$8-2,0)</f>
        <v>#DIV/0!</v>
      </c>
      <c r="X34" s="20">
        <f ca="1">OFFSET(database!S7,$R$8-2,0)</f>
        <v>0</v>
      </c>
      <c r="AB34" s="11"/>
      <c r="AC34" s="11">
        <f t="shared" ca="1" si="8"/>
        <v>0.25</v>
      </c>
      <c r="AD34" s="11">
        <f t="shared" ca="1" si="9"/>
        <v>0.35</v>
      </c>
      <c r="AE34" s="11" t="e">
        <f t="shared" ca="1" si="10"/>
        <v>#DIV/0!</v>
      </c>
      <c r="AF34" s="11">
        <f t="shared" ca="1" si="11"/>
        <v>0</v>
      </c>
    </row>
    <row r="35" spans="2:32" x14ac:dyDescent="0.2">
      <c r="B35" s="14" t="str">
        <f ca="1">OFFSET(database!F8,$A$8-2,0)</f>
        <v/>
      </c>
      <c r="C35" s="20">
        <f ca="1">OFFSET(database!N8,$A$8-2,0)</f>
        <v>0</v>
      </c>
      <c r="D35" s="20"/>
      <c r="E35" s="20">
        <f ca="1">OFFSET(database!P8,$A$8-2,0)</f>
        <v>10000</v>
      </c>
      <c r="F35" s="20">
        <f ca="1">OFFSET(database!Q8,$A$8-2,0)</f>
        <v>14000</v>
      </c>
      <c r="G35" s="20">
        <f ca="1">OFFSET(database!R8,$A$8-2,0)</f>
        <v>9000</v>
      </c>
      <c r="H35" s="20">
        <f ca="1">OFFSET(database!S8,$A$8-2,0)</f>
        <v>0</v>
      </c>
      <c r="N35" s="11">
        <f t="shared" ca="1" si="7"/>
        <v>0.25</v>
      </c>
      <c r="O35" s="11">
        <f t="shared" ca="1" si="7"/>
        <v>0.35</v>
      </c>
      <c r="P35" s="11">
        <f t="shared" ca="1" si="7"/>
        <v>0.22500000000000001</v>
      </c>
      <c r="Q35" s="11">
        <f t="shared" ca="1" si="7"/>
        <v>0</v>
      </c>
      <c r="S35" s="14" t="str">
        <f ca="1">OFFSET(database!F8,$R$8-2,0)</f>
        <v/>
      </c>
      <c r="T35" s="20">
        <f ca="1">OFFSET(database!N8,$R$8-2,0)</f>
        <v>0</v>
      </c>
      <c r="U35" s="20">
        <f ca="1">OFFSET(database!P8,$R$8-2,0)</f>
        <v>10000</v>
      </c>
      <c r="V35" s="20">
        <f ca="1">OFFSET(database!Q8,$R$8-2,0)</f>
        <v>14000</v>
      </c>
      <c r="W35" s="20" t="e">
        <f ca="1">OFFSET(database!R8,$R$8-2,0)</f>
        <v>#DIV/0!</v>
      </c>
      <c r="X35" s="20">
        <f ca="1">OFFSET(database!S8,$R$8-2,0)</f>
        <v>0</v>
      </c>
      <c r="AC35" s="11">
        <f t="shared" ca="1" si="8"/>
        <v>0.25</v>
      </c>
      <c r="AD35" s="11">
        <f t="shared" ca="1" si="9"/>
        <v>0.35</v>
      </c>
      <c r="AE35" s="11" t="e">
        <f t="shared" ca="1" si="10"/>
        <v>#DIV/0!</v>
      </c>
      <c r="AF35" s="11">
        <f t="shared" ca="1" si="11"/>
        <v>0</v>
      </c>
    </row>
    <row r="36" spans="2:32" x14ac:dyDescent="0.2">
      <c r="B36" s="14" t="str">
        <f ca="1">OFFSET(database!F9,$A$8-2,0)</f>
        <v/>
      </c>
      <c r="C36" s="20">
        <f ca="1">OFFSET(database!N9,$A$8-2,0)</f>
        <v>0</v>
      </c>
      <c r="D36" s="20"/>
      <c r="E36" s="20">
        <f ca="1">OFFSET(database!P9,$A$8-2,0)</f>
        <v>10000</v>
      </c>
      <c r="F36" s="20">
        <f ca="1">OFFSET(database!Q9,$A$8-2,0)</f>
        <v>14000</v>
      </c>
      <c r="G36" s="20">
        <f ca="1">OFFSET(database!R9,$A$8-2,0)</f>
        <v>9000</v>
      </c>
      <c r="H36" s="20">
        <f ca="1">OFFSET(database!S9,$A$8-2,0)</f>
        <v>0</v>
      </c>
      <c r="N36" s="11">
        <f t="shared" ca="1" si="7"/>
        <v>0.25</v>
      </c>
      <c r="O36" s="11">
        <f t="shared" ca="1" si="7"/>
        <v>0.35</v>
      </c>
      <c r="P36" s="11">
        <f t="shared" ca="1" si="7"/>
        <v>0.22500000000000001</v>
      </c>
      <c r="Q36" s="11">
        <f t="shared" ca="1" si="7"/>
        <v>0</v>
      </c>
      <c r="S36" s="14" t="str">
        <f ca="1">OFFSET(database!F9,$R$8-2,0)</f>
        <v/>
      </c>
      <c r="T36" s="20">
        <f ca="1">OFFSET(database!N9,$R$8-2,0)</f>
        <v>0</v>
      </c>
      <c r="U36" s="20">
        <f ca="1">OFFSET(database!P9,$R$8-2,0)</f>
        <v>10000</v>
      </c>
      <c r="V36" s="20">
        <f ca="1">OFFSET(database!Q9,$R$8-2,0)</f>
        <v>14000</v>
      </c>
      <c r="W36" s="20" t="e">
        <f ca="1">OFFSET(database!R9,$R$8-2,0)</f>
        <v>#DIV/0!</v>
      </c>
      <c r="X36" s="20">
        <f ca="1">OFFSET(database!S9,$R$8-2,0)</f>
        <v>0</v>
      </c>
      <c r="AC36" s="11">
        <f t="shared" ca="1" si="8"/>
        <v>0.25</v>
      </c>
      <c r="AD36" s="11">
        <f t="shared" ca="1" si="9"/>
        <v>0.35</v>
      </c>
      <c r="AE36" s="11" t="e">
        <f t="shared" ca="1" si="10"/>
        <v>#DIV/0!</v>
      </c>
      <c r="AF36" s="11">
        <f t="shared" ca="1" si="11"/>
        <v>0</v>
      </c>
    </row>
    <row r="37" spans="2:32" x14ac:dyDescent="0.2">
      <c r="B37" s="14" t="str">
        <f ca="1">OFFSET(database!F10,$A$8-2,0)</f>
        <v/>
      </c>
      <c r="C37" s="20">
        <f ca="1">OFFSET(database!N10,$A$8-2,0)</f>
        <v>0</v>
      </c>
      <c r="D37" s="20"/>
      <c r="E37" s="20">
        <f ca="1">OFFSET(database!P10,$A$8-2,0)</f>
        <v>10000</v>
      </c>
      <c r="F37" s="20">
        <f ca="1">OFFSET(database!Q10,$A$8-2,0)</f>
        <v>14000</v>
      </c>
      <c r="G37" s="20">
        <f ca="1">OFFSET(database!R10,$A$8-2,0)</f>
        <v>9000</v>
      </c>
      <c r="H37" s="20">
        <f ca="1">OFFSET(database!S10,$A$8-2,0)</f>
        <v>0</v>
      </c>
      <c r="N37" s="11">
        <f t="shared" ca="1" si="7"/>
        <v>0.25</v>
      </c>
      <c r="O37" s="11">
        <f t="shared" ca="1" si="7"/>
        <v>0.35</v>
      </c>
      <c r="P37" s="11">
        <f t="shared" ca="1" si="7"/>
        <v>0.22500000000000001</v>
      </c>
      <c r="Q37" s="11">
        <f t="shared" ca="1" si="7"/>
        <v>0</v>
      </c>
      <c r="S37" s="14" t="str">
        <f ca="1">OFFSET(database!F10,$R$8-2,0)</f>
        <v>tot AOW leeftijd indien &gt;68 jaar</v>
      </c>
      <c r="T37" s="20">
        <f ca="1">OFFSET(database!N10,$R$8-2,0)</f>
        <v>0</v>
      </c>
      <c r="U37" s="20">
        <f ca="1">OFFSET(database!P10,$R$8-2,0)</f>
        <v>10000</v>
      </c>
      <c r="V37" s="20">
        <f ca="1">OFFSET(database!Q10,$R$8-2,0)</f>
        <v>14000</v>
      </c>
      <c r="W37" s="20" t="e">
        <f ca="1">OFFSET(database!R10,$R$8-2,0)</f>
        <v>#DIV/0!</v>
      </c>
      <c r="X37" s="20">
        <f ca="1">OFFSET(database!S10,$R$8-2,0)</f>
        <v>0</v>
      </c>
      <c r="AC37" s="11">
        <f t="shared" ca="1" si="8"/>
        <v>0.25</v>
      </c>
      <c r="AD37" s="11">
        <f t="shared" ca="1" si="9"/>
        <v>0.35</v>
      </c>
      <c r="AE37" s="11" t="e">
        <f t="shared" ca="1" si="10"/>
        <v>#DIV/0!</v>
      </c>
      <c r="AF37" s="11">
        <f t="shared" ca="1" si="11"/>
        <v>0</v>
      </c>
    </row>
    <row r="46" spans="2:32" ht="14.25" x14ac:dyDescent="0.2">
      <c r="B46" s="37" t="s">
        <v>85</v>
      </c>
    </row>
    <row r="47" spans="2:32" ht="14.25" x14ac:dyDescent="0.2">
      <c r="B47" s="37" t="str">
        <f ca="1">OFFSET(database!E4,$A$8-2,0)</f>
        <v>In dit geval hoeft de WGA Hiaatverzekering niet uit te keren, omdat je vanuit de WIA al 70% van je oude loon ontvangt.</v>
      </c>
      <c r="S47" t="e">
        <f ca="1">OFFSET(database!E4,$R$8-2,0)</f>
        <v>#DIV/0!</v>
      </c>
    </row>
    <row r="49" spans="2:32" x14ac:dyDescent="0.2">
      <c r="B49" t="s">
        <v>32</v>
      </c>
      <c r="S49" t="s">
        <v>32</v>
      </c>
    </row>
    <row r="50" spans="2:32" x14ac:dyDescent="0.2">
      <c r="B50" t="str">
        <f ca="1">OFFSET(database!F2,$A$8-2,0)</f>
        <v>tijdlijn</v>
      </c>
      <c r="C50" t="str">
        <f ca="1">OFFSET(database!U2,$A$8-2,0)</f>
        <v>Loondoorbetaling bij ziekte</v>
      </c>
      <c r="D50" t="str">
        <f ca="1">OFFSET(database!V2,$A$8-2,0)</f>
        <v>CAO-aanvulling*</v>
      </c>
      <c r="E50" t="str">
        <f ca="1">OFFSET(database!W2,$A$8-2,0)</f>
        <v>Nieuw loon</v>
      </c>
      <c r="F50" t="str">
        <f ca="1">OFFSET(database!X2,$A$8-2,0)</f>
        <v>WGA uitkering</v>
      </c>
      <c r="G50" t="str">
        <f ca="1">OFFSET(database!Y2,$A$8-2,0)</f>
        <v>WGA Hiaat Uitgebreid</v>
      </c>
      <c r="H50" t="str">
        <f ca="1">OFFSET(database!Z2,$A$8-2,0)</f>
        <v/>
      </c>
      <c r="L50" t="str">
        <f t="shared" ref="L50:Q50" ca="1" si="12">C50</f>
        <v>Loondoorbetaling bij ziekte</v>
      </c>
      <c r="M50" t="str">
        <f t="shared" ca="1" si="12"/>
        <v>CAO-aanvulling*</v>
      </c>
      <c r="N50" t="str">
        <f t="shared" ca="1" si="12"/>
        <v>Nieuw loon</v>
      </c>
      <c r="O50" t="str">
        <f t="shared" ca="1" si="12"/>
        <v>WGA uitkering</v>
      </c>
      <c r="P50" t="str">
        <f t="shared" ca="1" si="12"/>
        <v>WGA Hiaat Uitgebreid</v>
      </c>
      <c r="Q50" t="str">
        <f t="shared" ca="1" si="12"/>
        <v/>
      </c>
      <c r="S50" t="str">
        <f ca="1">OFFSET(database!F2,$R$8-2,0)</f>
        <v>tijdlijn</v>
      </c>
      <c r="T50" t="str">
        <f ca="1">OFFSET(database!U2,$R$8-2,0)</f>
        <v>Loondoorbetaling bij ziekte</v>
      </c>
      <c r="U50" t="str">
        <f ca="1">OFFSET(database!W2,$R$8-2,0)</f>
        <v>Nieuw loon</v>
      </c>
      <c r="V50" t="str">
        <f ca="1">OFFSET(database!X2,$R$8-2,0)</f>
        <v>WGA uitkering (WIA index)</v>
      </c>
      <c r="W50" t="str">
        <f ca="1">OFFSET(database!Y2,$R$8-2,0)</f>
        <v>WGA Hiaat Uitgebreid (WIA index)</v>
      </c>
      <c r="X50" t="str">
        <f ca="1">OFFSET(database!Z2,$R$8-2,0)</f>
        <v xml:space="preserve">WIA Excedent </v>
      </c>
      <c r="Y50">
        <f ca="1">OFFSET(database!AQ2,$A$8-2,0)</f>
        <v>0</v>
      </c>
      <c r="AB50" t="str">
        <f ca="1">T50</f>
        <v>Loondoorbetaling bij ziekte</v>
      </c>
      <c r="AC50" t="str">
        <f ca="1">U50</f>
        <v>Nieuw loon</v>
      </c>
      <c r="AD50" t="str">
        <f ca="1">V50</f>
        <v>WGA uitkering (WIA index)</v>
      </c>
      <c r="AE50" t="str">
        <f ca="1">W50</f>
        <v>WGA Hiaat Uitgebreid (WIA index)</v>
      </c>
      <c r="AF50" t="str">
        <f ca="1">X50</f>
        <v xml:space="preserve">WIA Excedent </v>
      </c>
    </row>
    <row r="51" spans="2:32" x14ac:dyDescent="0.2">
      <c r="B51" t="str">
        <f ca="1">OFFSET(database!F3,$A$8-2,0)</f>
        <v>1e ziektejaar</v>
      </c>
      <c r="C51" s="19">
        <f ca="1">OFFSET(database!U3,$A$8-2,0)</f>
        <v>40000</v>
      </c>
      <c r="D51" s="19"/>
      <c r="E51" s="19">
        <f ca="1">OFFSET(database!W3,$A$8-2,0)</f>
        <v>0</v>
      </c>
      <c r="F51" s="19">
        <f ca="1">OFFSET(database!X3,$A$8-2,0)</f>
        <v>0</v>
      </c>
      <c r="G51" s="19">
        <f ca="1">OFFSET(database!Y3,$A$8-2,0)</f>
        <v>0</v>
      </c>
      <c r="H51" s="19">
        <f ca="1">OFFSET(database!Z3,$A$8-2,0)</f>
        <v>0</v>
      </c>
      <c r="I51" s="19"/>
      <c r="K51" t="s">
        <v>19</v>
      </c>
      <c r="L51" s="11">
        <f ca="1">C51/Inkomen</f>
        <v>1</v>
      </c>
      <c r="M51" s="11"/>
      <c r="N51" s="11"/>
      <c r="O51" s="11"/>
      <c r="P51" s="11"/>
      <c r="Q51" s="11"/>
      <c r="R51" s="11"/>
      <c r="S51" t="str">
        <f ca="1">OFFSET(database!F3,$R$8-2,0)</f>
        <v>1e ziektejaar</v>
      </c>
      <c r="T51" s="20">
        <f ca="1">OFFSET(database!U3,$R$8-2,0)</f>
        <v>40000</v>
      </c>
      <c r="U51" s="20">
        <f ca="1">OFFSET(database!W3,$R$8-2,0)</f>
        <v>0</v>
      </c>
      <c r="V51" s="20">
        <f ca="1">OFFSET(database!X3,$R$8-2,0)</f>
        <v>0</v>
      </c>
      <c r="W51" s="20">
        <f ca="1">OFFSET(database!Y3,$R$8-2,0)</f>
        <v>0</v>
      </c>
      <c r="X51" s="20">
        <f ca="1">OFFSET(database!Z3,$R$8-2,0)</f>
        <v>0</v>
      </c>
      <c r="Y51" s="19">
        <f ca="1">OFFSET(database!AQ3,$A$8-2,0)</f>
        <v>0</v>
      </c>
      <c r="AA51" t="s">
        <v>19</v>
      </c>
      <c r="AB51" s="11">
        <f ca="1">T51/Inkomen</f>
        <v>1</v>
      </c>
      <c r="AC51" s="11"/>
      <c r="AD51" s="11"/>
      <c r="AE51" s="11"/>
      <c r="AF51" s="11"/>
    </row>
    <row r="52" spans="2:32" x14ac:dyDescent="0.2">
      <c r="B52" t="str">
        <f ca="1">OFFSET(database!F4,$A$8-2,0)</f>
        <v>2e ziektejaar</v>
      </c>
      <c r="C52" s="19">
        <f ca="1">OFFSET(database!U4,$A$8-2,0)</f>
        <v>28000</v>
      </c>
      <c r="D52" s="19">
        <f ca="1">OFFSET(database!V4,$A$8-2,0)</f>
        <v>12000</v>
      </c>
      <c r="E52" s="19">
        <f ca="1">OFFSET(database!W4,$A$8-2,0)</f>
        <v>0</v>
      </c>
      <c r="F52" s="19">
        <f ca="1">OFFSET(database!X4,$A$8-2,0)</f>
        <v>0</v>
      </c>
      <c r="G52" s="19">
        <f ca="1">OFFSET(database!Y4,$A$8-2,0)</f>
        <v>0</v>
      </c>
      <c r="H52" s="19">
        <f ca="1">OFFSET(database!Z4,$A$8-2,0)</f>
        <v>0</v>
      </c>
      <c r="I52" s="19"/>
      <c r="K52" t="s">
        <v>20</v>
      </c>
      <c r="L52" s="11">
        <f ca="1">C52/Inkomen</f>
        <v>0.7</v>
      </c>
      <c r="M52" s="11">
        <f ca="1">D52/Inkomen</f>
        <v>0.3</v>
      </c>
      <c r="N52" s="11"/>
      <c r="O52" s="11"/>
      <c r="P52" s="11"/>
      <c r="Q52" s="11"/>
      <c r="R52" s="11"/>
      <c r="S52" t="str">
        <f ca="1">OFFSET(database!F4,$R$8-2,0)</f>
        <v>2e ziektejaar</v>
      </c>
      <c r="T52" s="20">
        <f ca="1">OFFSET(database!U4,$R$8-2,0)</f>
        <v>28000</v>
      </c>
      <c r="U52" s="20">
        <f ca="1">OFFSET(database!W4,$R$8-2,0)</f>
        <v>0</v>
      </c>
      <c r="V52" s="20">
        <f ca="1">OFFSET(database!X4,$R$8-2,0)</f>
        <v>0</v>
      </c>
      <c r="W52" s="20">
        <f ca="1">OFFSET(database!Y4,$R$8-2,0)</f>
        <v>0</v>
      </c>
      <c r="X52" s="20">
        <f ca="1">OFFSET(database!Z4,$R$8-2,0)</f>
        <v>0</v>
      </c>
      <c r="Y52" s="19">
        <f ca="1">OFFSET(database!AQ4,$A$8-2,0)</f>
        <v>0</v>
      </c>
      <c r="AA52" t="s">
        <v>20</v>
      </c>
      <c r="AB52" s="11">
        <f ca="1">T52/Inkomen</f>
        <v>0.7</v>
      </c>
      <c r="AC52" s="11"/>
      <c r="AD52" s="11"/>
      <c r="AE52" s="11"/>
      <c r="AF52" s="11"/>
    </row>
    <row r="53" spans="2:32" x14ac:dyDescent="0.2">
      <c r="B53" t="str">
        <f ca="1">OFFSET(database!F5,$A$8-2,0)</f>
        <v>Vanaf 3e jaar (max. 24 mnd)</v>
      </c>
      <c r="C53" s="19">
        <f ca="1">OFFSET(database!U5,$A$8-2,0)</f>
        <v>0</v>
      </c>
      <c r="D53" s="19"/>
      <c r="E53" s="19">
        <f ca="1">OFFSET(database!W5,$A$8-2,0)</f>
        <v>0</v>
      </c>
      <c r="F53" s="19">
        <f ca="1">OFFSET(database!X5,$A$8-2,0)</f>
        <v>28000</v>
      </c>
      <c r="G53" s="19">
        <f ca="1">OFFSET(database!Y5,$A$8-2,0)</f>
        <v>0</v>
      </c>
      <c r="H53" s="19">
        <f ca="1">OFFSET(database!Z5,$A$8-2,0)</f>
        <v>0</v>
      </c>
      <c r="I53" s="19"/>
      <c r="K53" t="s">
        <v>21</v>
      </c>
      <c r="L53" s="11"/>
      <c r="M53" s="11"/>
      <c r="N53" s="11">
        <f t="shared" ref="N53:Q58" ca="1" si="13">E53/Inkomen</f>
        <v>0</v>
      </c>
      <c r="O53" s="11">
        <f t="shared" ca="1" si="13"/>
        <v>0.7</v>
      </c>
      <c r="P53" s="11">
        <f t="shared" ca="1" si="13"/>
        <v>0</v>
      </c>
      <c r="Q53" s="11">
        <f t="shared" ca="1" si="13"/>
        <v>0</v>
      </c>
      <c r="R53" s="11"/>
      <c r="S53" t="str">
        <f ca="1">OFFSET(database!F5,$R$8-2,0)</f>
        <v>Vanaf 3e jaar (max. 24 mnd)</v>
      </c>
      <c r="T53" s="20">
        <f ca="1">OFFSET(database!U5,$R$8-2,0)</f>
        <v>0</v>
      </c>
      <c r="U53" s="20">
        <f ca="1">OFFSET(database!W5,$R$8-2,0)</f>
        <v>0</v>
      </c>
      <c r="V53" s="20">
        <f ca="1">OFFSET(database!X5,$R$8-2,0)</f>
        <v>28000</v>
      </c>
      <c r="W53" s="20" t="e">
        <f ca="1">OFFSET(database!Y5,$R$8-2,0)</f>
        <v>#DIV/0!</v>
      </c>
      <c r="X53" s="20">
        <f ca="1">OFFSET(database!Z5,$R$8-2,0)</f>
        <v>0</v>
      </c>
      <c r="Y53" s="19">
        <f ca="1">OFFSET(database!AQ5,$A$8-2,0)</f>
        <v>0</v>
      </c>
      <c r="AA53" t="s">
        <v>21</v>
      </c>
      <c r="AB53" s="11"/>
      <c r="AC53" s="11">
        <f t="shared" ref="AC53:AC58" ca="1" si="14">U53/Inkomen</f>
        <v>0</v>
      </c>
      <c r="AD53" s="11">
        <f t="shared" ref="AD53:AD58" ca="1" si="15">V53/Inkomen</f>
        <v>0.7</v>
      </c>
      <c r="AE53" s="11" t="e">
        <f t="shared" ref="AE53:AE58" ca="1" si="16">W53/Inkomen</f>
        <v>#DIV/0!</v>
      </c>
      <c r="AF53" s="11">
        <f t="shared" ref="AF53:AF58" ca="1" si="17">X53/Inkomen</f>
        <v>0</v>
      </c>
    </row>
    <row r="54" spans="2:32" x14ac:dyDescent="0.2">
      <c r="B54" t="str">
        <f ca="1">OFFSET(database!F6,$A$8-2,0)</f>
        <v>Tot AOW leeftijd</v>
      </c>
      <c r="C54" s="19">
        <f ca="1">OFFSET(database!U6,$A$8-2,0)</f>
        <v>0</v>
      </c>
      <c r="D54" s="19"/>
      <c r="E54" s="19">
        <f ca="1">OFFSET(database!W6,$A$8-2,0)</f>
        <v>0</v>
      </c>
      <c r="F54" s="19">
        <f ca="1">OFFSET(database!X6,$A$8-2,0)</f>
        <v>28000</v>
      </c>
      <c r="G54" s="19">
        <f ca="1">OFFSET(database!Y6,$A$8-2,0)</f>
        <v>0</v>
      </c>
      <c r="H54" s="19">
        <f ca="1">OFFSET(database!Z6,$A$8-2,0)</f>
        <v>0</v>
      </c>
      <c r="I54" s="19"/>
      <c r="K54" t="s">
        <v>22</v>
      </c>
      <c r="L54" s="11"/>
      <c r="M54" s="11"/>
      <c r="N54" s="11">
        <f t="shared" ca="1" si="13"/>
        <v>0</v>
      </c>
      <c r="O54" s="11">
        <f t="shared" ca="1" si="13"/>
        <v>0.7</v>
      </c>
      <c r="P54" s="11">
        <f t="shared" ca="1" si="13"/>
        <v>0</v>
      </c>
      <c r="Q54" s="11">
        <f t="shared" ca="1" si="13"/>
        <v>0</v>
      </c>
      <c r="R54" s="11"/>
      <c r="S54" t="str">
        <f ca="1">OFFSET(database!F6,$R$8-2,0)</f>
        <v>tot max. leeftijd 68</v>
      </c>
      <c r="T54" s="20">
        <f ca="1">OFFSET(database!U6,$R$8-2,0)</f>
        <v>0</v>
      </c>
      <c r="U54" s="20">
        <f ca="1">OFFSET(database!W6,$R$8-2,0)</f>
        <v>0</v>
      </c>
      <c r="V54" s="20">
        <f ca="1">OFFSET(database!X6,$R$8-2,0)</f>
        <v>28000</v>
      </c>
      <c r="W54" s="20" t="e">
        <f ca="1">OFFSET(database!Y6,$R$8-2,0)</f>
        <v>#DIV/0!</v>
      </c>
      <c r="X54" s="20">
        <f ca="1">OFFSET(database!Z6,$R$8-2,0)</f>
        <v>0</v>
      </c>
      <c r="Y54" s="19">
        <f ca="1">OFFSET(database!AQ6,$A$8-2,0)</f>
        <v>0</v>
      </c>
      <c r="AA54" t="s">
        <v>22</v>
      </c>
      <c r="AB54" s="11"/>
      <c r="AC54" s="11">
        <f t="shared" ca="1" si="14"/>
        <v>0</v>
      </c>
      <c r="AD54" s="11">
        <f t="shared" ca="1" si="15"/>
        <v>0.7</v>
      </c>
      <c r="AE54" s="11" t="e">
        <f t="shared" ca="1" si="16"/>
        <v>#DIV/0!</v>
      </c>
      <c r="AF54" s="11">
        <f t="shared" ca="1" si="17"/>
        <v>0</v>
      </c>
    </row>
    <row r="55" spans="2:32" x14ac:dyDescent="0.2">
      <c r="B55" t="str">
        <f ca="1">OFFSET(database!F7,$A$8-2,0)</f>
        <v/>
      </c>
      <c r="C55" s="19">
        <f ca="1">OFFSET(database!U7,$A$8-2,0)</f>
        <v>0</v>
      </c>
      <c r="D55" s="19"/>
      <c r="E55" s="19">
        <f ca="1">OFFSET(database!W7,$A$8-2,0)</f>
        <v>0</v>
      </c>
      <c r="F55" s="19">
        <f ca="1">OFFSET(database!X7,$A$8-2,0)</f>
        <v>28000</v>
      </c>
      <c r="G55" s="19">
        <f ca="1">OFFSET(database!Y7,$A$8-2,0)</f>
        <v>0</v>
      </c>
      <c r="H55" s="19">
        <f ca="1">OFFSET(database!Z7,$A$8-2,0)</f>
        <v>0</v>
      </c>
      <c r="I55" s="19"/>
      <c r="L55" s="11"/>
      <c r="M55" s="11"/>
      <c r="N55" s="11">
        <f t="shared" ca="1" si="13"/>
        <v>0</v>
      </c>
      <c r="O55" s="11">
        <f t="shared" ca="1" si="13"/>
        <v>0.7</v>
      </c>
      <c r="P55" s="11">
        <f t="shared" ca="1" si="13"/>
        <v>0</v>
      </c>
      <c r="Q55" s="11">
        <f t="shared" ca="1" si="13"/>
        <v>0</v>
      </c>
      <c r="R55" s="11"/>
      <c r="S55" t="str">
        <f ca="1">OFFSET(database!F7,$R$8-2,0)</f>
        <v/>
      </c>
      <c r="T55" s="20">
        <f ca="1">OFFSET(database!U7,$R$8-2,0)</f>
        <v>0</v>
      </c>
      <c r="U55" s="20">
        <f ca="1">OFFSET(database!W7,$R$8-2,0)</f>
        <v>0</v>
      </c>
      <c r="V55" s="20">
        <f ca="1">OFFSET(database!X7,$R$8-2,0)</f>
        <v>28000</v>
      </c>
      <c r="W55" s="20" t="e">
        <f ca="1">OFFSET(database!Y7,$R$8-2,0)</f>
        <v>#DIV/0!</v>
      </c>
      <c r="X55" s="20">
        <f ca="1">OFFSET(database!Z7,$R$8-2,0)</f>
        <v>0</v>
      </c>
      <c r="Y55" s="19">
        <f ca="1">OFFSET(database!AQ7,$A$8-2,0)</f>
        <v>0</v>
      </c>
      <c r="AB55" s="11"/>
      <c r="AC55" s="11">
        <f t="shared" ca="1" si="14"/>
        <v>0</v>
      </c>
      <c r="AD55" s="11">
        <f t="shared" ca="1" si="15"/>
        <v>0.7</v>
      </c>
      <c r="AE55" s="11" t="e">
        <f t="shared" ca="1" si="16"/>
        <v>#DIV/0!</v>
      </c>
      <c r="AF55" s="11">
        <f t="shared" ca="1" si="17"/>
        <v>0</v>
      </c>
    </row>
    <row r="56" spans="2:32" x14ac:dyDescent="0.2">
      <c r="B56" t="str">
        <f ca="1">OFFSET(database!F8,$A$8-2,0)</f>
        <v/>
      </c>
      <c r="C56" s="19">
        <f ca="1">OFFSET(database!U8,$A$8-2,0)</f>
        <v>0</v>
      </c>
      <c r="D56" s="19"/>
      <c r="E56" s="19">
        <f ca="1">OFFSET(database!W8,$A$8-2,0)</f>
        <v>0</v>
      </c>
      <c r="F56" s="19">
        <f ca="1">OFFSET(database!X8,$A$8-2,0)</f>
        <v>28000</v>
      </c>
      <c r="G56" s="19">
        <f ca="1">OFFSET(database!Y8,$A$8-2,0)</f>
        <v>0</v>
      </c>
      <c r="H56" s="19">
        <f ca="1">OFFSET(database!Z8,$A$8-2,0)</f>
        <v>0</v>
      </c>
      <c r="I56" s="19"/>
      <c r="N56" s="11">
        <f t="shared" ca="1" si="13"/>
        <v>0</v>
      </c>
      <c r="O56" s="11">
        <f t="shared" ca="1" si="13"/>
        <v>0.7</v>
      </c>
      <c r="P56" s="11">
        <f t="shared" ca="1" si="13"/>
        <v>0</v>
      </c>
      <c r="Q56" s="11">
        <f t="shared" ca="1" si="13"/>
        <v>0</v>
      </c>
      <c r="S56" t="str">
        <f ca="1">OFFSET(database!F8,$R$8-2,0)</f>
        <v/>
      </c>
      <c r="T56" s="20">
        <f ca="1">OFFSET(database!U8,$R$8-2,0)</f>
        <v>0</v>
      </c>
      <c r="U56" s="20">
        <f ca="1">OFFSET(database!W8,$R$8-2,0)</f>
        <v>0</v>
      </c>
      <c r="V56" s="20">
        <f ca="1">OFFSET(database!X8,$R$8-2,0)</f>
        <v>28000</v>
      </c>
      <c r="W56" s="20" t="e">
        <f ca="1">OFFSET(database!Y8,$R$8-2,0)</f>
        <v>#DIV/0!</v>
      </c>
      <c r="X56" s="20">
        <f ca="1">OFFSET(database!Z8,$R$8-2,0)</f>
        <v>0</v>
      </c>
      <c r="Y56" s="19">
        <f ca="1">OFFSET(database!AQ8,$A$8-2,0)</f>
        <v>0</v>
      </c>
      <c r="AC56" s="11">
        <f t="shared" ca="1" si="14"/>
        <v>0</v>
      </c>
      <c r="AD56" s="11">
        <f t="shared" ca="1" si="15"/>
        <v>0.7</v>
      </c>
      <c r="AE56" s="11" t="e">
        <f t="shared" ca="1" si="16"/>
        <v>#DIV/0!</v>
      </c>
      <c r="AF56" s="11">
        <f t="shared" ca="1" si="17"/>
        <v>0</v>
      </c>
    </row>
    <row r="57" spans="2:32" x14ac:dyDescent="0.2">
      <c r="B57" t="str">
        <f ca="1">OFFSET(database!F9,$A$8-2,0)</f>
        <v/>
      </c>
      <c r="C57" s="19">
        <f ca="1">OFFSET(database!U9,$A$8-2,0)</f>
        <v>0</v>
      </c>
      <c r="D57" s="19"/>
      <c r="E57" s="19">
        <f ca="1">OFFSET(database!W9,$A$8-2,0)</f>
        <v>0</v>
      </c>
      <c r="F57" s="19">
        <f ca="1">OFFSET(database!X9,$A$8-2,0)</f>
        <v>28000</v>
      </c>
      <c r="G57" s="19">
        <f ca="1">OFFSET(database!Y9,$A$8-2,0)</f>
        <v>0</v>
      </c>
      <c r="H57" s="19">
        <f ca="1">OFFSET(database!Z9,$A$8-2,0)</f>
        <v>0</v>
      </c>
      <c r="I57" s="19"/>
      <c r="N57" s="11">
        <f t="shared" ca="1" si="13"/>
        <v>0</v>
      </c>
      <c r="O57" s="11">
        <f t="shared" ca="1" si="13"/>
        <v>0.7</v>
      </c>
      <c r="P57" s="11">
        <f t="shared" ca="1" si="13"/>
        <v>0</v>
      </c>
      <c r="Q57" s="11">
        <f t="shared" ca="1" si="13"/>
        <v>0</v>
      </c>
      <c r="S57" t="str">
        <f ca="1">OFFSET(database!F9,$R$8-2,0)</f>
        <v/>
      </c>
      <c r="T57" s="20">
        <f ca="1">OFFSET(database!U9,$R$8-2,0)</f>
        <v>0</v>
      </c>
      <c r="U57" s="20">
        <f ca="1">OFFSET(database!W9,$R$8-2,0)</f>
        <v>0</v>
      </c>
      <c r="V57" s="20">
        <f ca="1">OFFSET(database!X9,$R$8-2,0)</f>
        <v>28000</v>
      </c>
      <c r="W57" s="20" t="e">
        <f ca="1">OFFSET(database!Y9,$R$8-2,0)</f>
        <v>#DIV/0!</v>
      </c>
      <c r="X57" s="20">
        <f ca="1">OFFSET(database!Z9,$R$8-2,0)</f>
        <v>0</v>
      </c>
      <c r="Y57" s="19">
        <f ca="1">OFFSET(database!AQ9,$A$8-2,0)</f>
        <v>0</v>
      </c>
      <c r="AC57" s="11">
        <f t="shared" ca="1" si="14"/>
        <v>0</v>
      </c>
      <c r="AD57" s="11">
        <f t="shared" ca="1" si="15"/>
        <v>0.7</v>
      </c>
      <c r="AE57" s="11" t="e">
        <f t="shared" ca="1" si="16"/>
        <v>#DIV/0!</v>
      </c>
      <c r="AF57" s="11">
        <f t="shared" ca="1" si="17"/>
        <v>0</v>
      </c>
    </row>
    <row r="58" spans="2:32" x14ac:dyDescent="0.2">
      <c r="B58" t="str">
        <f ca="1">OFFSET(database!F10,$A$8-2,0)</f>
        <v/>
      </c>
      <c r="C58" s="19">
        <f ca="1">OFFSET(database!U10,$A$8-2,0)</f>
        <v>0</v>
      </c>
      <c r="D58" s="19"/>
      <c r="E58" s="19">
        <f ca="1">OFFSET(database!W10,$A$8-2,0)</f>
        <v>0</v>
      </c>
      <c r="F58" s="19">
        <f ca="1">OFFSET(database!X10,$A$8-2,0)</f>
        <v>28000</v>
      </c>
      <c r="G58" s="19">
        <f ca="1">OFFSET(database!Y10,$A$8-2,0)</f>
        <v>0</v>
      </c>
      <c r="H58" s="19">
        <f ca="1">OFFSET(database!Z10,$A$8-2,0)</f>
        <v>0</v>
      </c>
      <c r="I58" s="19"/>
      <c r="N58" s="11">
        <f t="shared" ca="1" si="13"/>
        <v>0</v>
      </c>
      <c r="O58" s="11">
        <f t="shared" ca="1" si="13"/>
        <v>0.7</v>
      </c>
      <c r="P58" s="11">
        <f t="shared" ca="1" si="13"/>
        <v>0</v>
      </c>
      <c r="Q58" s="11">
        <f t="shared" ca="1" si="13"/>
        <v>0</v>
      </c>
      <c r="S58" t="str">
        <f ca="1">OFFSET(database!F10,$R$8-2,0)</f>
        <v>tot AOW leeftijd indien &gt;68 jaar</v>
      </c>
      <c r="T58" s="20">
        <f ca="1">OFFSET(database!U10,$R$8-2,0)</f>
        <v>0</v>
      </c>
      <c r="U58" s="20">
        <f ca="1">OFFSET(database!W10,$R$8-2,0)</f>
        <v>0</v>
      </c>
      <c r="V58" s="20">
        <f ca="1">OFFSET(database!X10,$R$8-2,0)</f>
        <v>28000</v>
      </c>
      <c r="W58" s="20" t="e">
        <f ca="1">OFFSET(database!Y10,$R$8-2,0)</f>
        <v>#DIV/0!</v>
      </c>
      <c r="X58" s="20">
        <f ca="1">OFFSET(database!Z10,$R$8-2,0)</f>
        <v>0</v>
      </c>
      <c r="Y58" s="19">
        <f ca="1">OFFSET(database!AQ10,$A$8-2,0)</f>
        <v>0</v>
      </c>
      <c r="AC58" s="11">
        <f t="shared" ca="1" si="14"/>
        <v>0</v>
      </c>
      <c r="AD58" s="11">
        <f t="shared" ca="1" si="15"/>
        <v>0.7</v>
      </c>
      <c r="AE58" s="11" t="e">
        <f t="shared" ca="1" si="16"/>
        <v>#DIV/0!</v>
      </c>
      <c r="AF58" s="11">
        <f t="shared" ca="1" si="17"/>
        <v>0</v>
      </c>
    </row>
    <row r="67" spans="2:17" ht="14.25" x14ac:dyDescent="0.2">
      <c r="B67" s="37" t="s">
        <v>135</v>
      </c>
    </row>
    <row r="68" spans="2:17" ht="14.25" x14ac:dyDescent="0.2">
      <c r="B68" s="37" t="str">
        <f ca="1">OFFSET(database!E5,$A$8-2,0)</f>
        <v>De aanvullende verzekeringen van Renewi vullen je inkomen aan tot 63% van je oude loon. Zonder deze verzekering kom je uit op 38% van je oude loon</v>
      </c>
    </row>
    <row r="70" spans="2:17" x14ac:dyDescent="0.2">
      <c r="B70" t="s">
        <v>129</v>
      </c>
    </row>
    <row r="71" spans="2:17" x14ac:dyDescent="0.2">
      <c r="B71" t="str">
        <f ca="1">OFFSET(database!F2,$A$8-2,0)</f>
        <v>tijdlijn</v>
      </c>
      <c r="C71" t="str">
        <f ca="1">OFFSET(database!AB2,$A$8-2,0)</f>
        <v>Loondoorbetaling bij ziekte</v>
      </c>
      <c r="D71" t="str">
        <f ca="1">OFFSET(database!AC2,$A$8-2,0)</f>
        <v>CAO-aanvulling*</v>
      </c>
      <c r="E71" t="str">
        <f ca="1">OFFSET(database!AD2,$A$8-2,0)</f>
        <v>Nieuw loon</v>
      </c>
      <c r="F71" t="str">
        <f ca="1">OFFSET(database!AE2,$A$8-2,0)</f>
        <v>WGA uitkering</v>
      </c>
      <c r="G71" t="str">
        <f ca="1">OFFSET(database!AF2,$A$8-2,0)</f>
        <v>WIA Bodem</v>
      </c>
      <c r="H71">
        <f ca="1">OFFSET(database!AG2,$A$8-2,0)</f>
        <v>0</v>
      </c>
      <c r="I71">
        <f ca="1">OFFSET(database!AH2,$A$8-2,0)</f>
        <v>0</v>
      </c>
      <c r="L71" t="str">
        <f t="shared" ref="L71:Q71" ca="1" si="18">C71</f>
        <v>Loondoorbetaling bij ziekte</v>
      </c>
      <c r="M71" t="str">
        <f t="shared" ca="1" si="18"/>
        <v>CAO-aanvulling*</v>
      </c>
      <c r="N71" t="str">
        <f t="shared" ca="1" si="18"/>
        <v>Nieuw loon</v>
      </c>
      <c r="O71" t="str">
        <f t="shared" ca="1" si="18"/>
        <v>WGA uitkering</v>
      </c>
      <c r="P71" t="str">
        <f t="shared" ca="1" si="18"/>
        <v>WIA Bodem</v>
      </c>
      <c r="Q71">
        <f t="shared" ca="1" si="18"/>
        <v>0</v>
      </c>
    </row>
    <row r="72" spans="2:17" x14ac:dyDescent="0.2">
      <c r="B72" t="str">
        <f ca="1">OFFSET(database!AA3,$A$8-2,0)</f>
        <v>1e ziektejaar</v>
      </c>
      <c r="C72" s="19">
        <f ca="1">OFFSET(database!AB3,$A$8-2,0)</f>
        <v>40000</v>
      </c>
      <c r="D72" s="19"/>
      <c r="E72" s="19">
        <f ca="1">OFFSET(database!AD3,$A$8-2,0)</f>
        <v>0</v>
      </c>
      <c r="F72" s="19">
        <f ca="1">OFFSET(database!AE3,$A$8-2,0)</f>
        <v>0</v>
      </c>
      <c r="G72" s="19">
        <f ca="1">OFFSET(database!AF3,$A$8-2,0)</f>
        <v>0</v>
      </c>
      <c r="H72" s="19">
        <f ca="1">OFFSET(database!AG3,$A$8-2,0)</f>
        <v>0</v>
      </c>
      <c r="I72" s="19">
        <f ca="1">OFFSET(database!AH3,$A$8-2,0)</f>
        <v>0</v>
      </c>
      <c r="K72" t="s">
        <v>19</v>
      </c>
      <c r="L72" s="11">
        <f ca="1">C72/Inkomen</f>
        <v>1</v>
      </c>
      <c r="M72" s="11"/>
      <c r="N72" s="11"/>
      <c r="O72" s="11"/>
      <c r="P72" s="11"/>
      <c r="Q72" s="11"/>
    </row>
    <row r="73" spans="2:17" x14ac:dyDescent="0.2">
      <c r="B73" t="str">
        <f ca="1">OFFSET(database!AA4,$A$8-2,0)</f>
        <v>2e ziektejaar</v>
      </c>
      <c r="C73" s="19">
        <f ca="1">OFFSET(database!AB4,$A$8-2,0)</f>
        <v>28000</v>
      </c>
      <c r="D73" s="19">
        <f ca="1">OFFSET(database!AC4,$A$8-2,0)</f>
        <v>12000</v>
      </c>
      <c r="E73" s="19">
        <f ca="1">OFFSET(database!AD4,$A$8-2,0)</f>
        <v>0</v>
      </c>
      <c r="F73" s="19">
        <f ca="1">OFFSET(database!AE4,$A$8-2,0)</f>
        <v>0</v>
      </c>
      <c r="G73" s="19">
        <f ca="1">OFFSET(database!AF4,$A$8-2,0)</f>
        <v>0</v>
      </c>
      <c r="H73" s="19">
        <f ca="1">OFFSET(database!AG4,$A$8-2,0)</f>
        <v>0</v>
      </c>
      <c r="I73" s="19">
        <f ca="1">OFFSET(database!AH4,$A$8-2,0)</f>
        <v>0</v>
      </c>
      <c r="K73" t="s">
        <v>20</v>
      </c>
      <c r="L73" s="11">
        <f ca="1">C73/Inkomen</f>
        <v>0.7</v>
      </c>
      <c r="M73" s="11">
        <f ca="1">D73/Inkomen</f>
        <v>0.3</v>
      </c>
      <c r="N73" s="11"/>
      <c r="O73" s="11"/>
      <c r="P73" s="11"/>
      <c r="Q73" s="11"/>
    </row>
    <row r="74" spans="2:17" x14ac:dyDescent="0.2">
      <c r="B74" t="str">
        <f ca="1">OFFSET(database!AA5,$A$8-2,0)</f>
        <v>Vanaf 3e jaar (max. 10 jaar)</v>
      </c>
      <c r="C74" s="19">
        <f ca="1">OFFSET(database!AB5,$A$8-2,0)</f>
        <v>0</v>
      </c>
      <c r="D74" s="19"/>
      <c r="E74" s="19">
        <f ca="1">OFFSET(database!AD5,$A$8-2,0)</f>
        <v>15000</v>
      </c>
      <c r="F74" s="19">
        <f ca="1">OFFSET(database!AE5,$A$8-2,0)</f>
        <v>0</v>
      </c>
      <c r="G74" s="19">
        <f ca="1">OFFSET(database!AF5,$A$8-2,0)</f>
        <v>10000</v>
      </c>
      <c r="H74" s="19">
        <f ca="1">OFFSET(database!AG5,$A$8-2,0)</f>
        <v>0</v>
      </c>
      <c r="I74" s="19">
        <f ca="1">OFFSET(database!AH5,$A$8-2,0)</f>
        <v>0</v>
      </c>
      <c r="K74" t="s">
        <v>21</v>
      </c>
      <c r="L74" s="11"/>
      <c r="M74" s="11"/>
      <c r="N74" s="11">
        <f t="shared" ref="N74:N79" ca="1" si="19">E74/Inkomen</f>
        <v>0.375</v>
      </c>
      <c r="O74" s="11">
        <f t="shared" ref="O74:O79" ca="1" si="20">F74/Inkomen</f>
        <v>0</v>
      </c>
      <c r="P74" s="11">
        <f t="shared" ref="P74:P79" ca="1" si="21">G74/Inkomen</f>
        <v>0.25</v>
      </c>
      <c r="Q74" s="11">
        <f t="shared" ref="Q74:Q79" ca="1" si="22">H74/Inkomen</f>
        <v>0</v>
      </c>
    </row>
    <row r="75" spans="2:17" x14ac:dyDescent="0.2">
      <c r="B75" t="str">
        <f ca="1">OFFSET(database!AA6,$A$8-2,0)</f>
        <v/>
      </c>
      <c r="C75" s="19">
        <f ca="1">OFFSET(database!AB6,$A$8-2,0)</f>
        <v>0</v>
      </c>
      <c r="D75" s="19"/>
      <c r="E75" s="19">
        <f ca="1">OFFSET(database!AD6,$A$8-2,0)</f>
        <v>15000</v>
      </c>
      <c r="F75" s="19">
        <f ca="1">OFFSET(database!AE6,$A$8-2,0)</f>
        <v>0</v>
      </c>
      <c r="G75" s="19">
        <f ca="1">OFFSET(database!AF6,$A$8-2,0)</f>
        <v>10000</v>
      </c>
      <c r="H75" s="19">
        <f ca="1">OFFSET(database!AG6,$A$8-2,0)</f>
        <v>0</v>
      </c>
      <c r="I75" s="19">
        <f ca="1">OFFSET(database!AH6,$A$8-2,0)</f>
        <v>0</v>
      </c>
      <c r="K75" t="s">
        <v>22</v>
      </c>
      <c r="L75" s="11"/>
      <c r="M75" s="11"/>
      <c r="N75" s="11">
        <f t="shared" ca="1" si="19"/>
        <v>0.375</v>
      </c>
      <c r="O75" s="11">
        <f t="shared" ca="1" si="20"/>
        <v>0</v>
      </c>
      <c r="P75" s="11">
        <f t="shared" ca="1" si="21"/>
        <v>0.25</v>
      </c>
      <c r="Q75" s="11">
        <f t="shared" ca="1" si="22"/>
        <v>0</v>
      </c>
    </row>
    <row r="76" spans="2:17" x14ac:dyDescent="0.2">
      <c r="B76" t="str">
        <f ca="1">OFFSET(database!AA7,$A$8-2,0)</f>
        <v/>
      </c>
      <c r="C76" s="19">
        <f ca="1">OFFSET(database!AB7,$A$8-2,0)</f>
        <v>0</v>
      </c>
      <c r="D76" s="19"/>
      <c r="E76" s="19">
        <f ca="1">OFFSET(database!AD7,$A$8-2,0)</f>
        <v>15000</v>
      </c>
      <c r="F76" s="19">
        <f ca="1">OFFSET(database!AE7,$A$8-2,0)</f>
        <v>0</v>
      </c>
      <c r="G76" s="19">
        <f ca="1">OFFSET(database!AF7,$A$8-2,0)</f>
        <v>10000</v>
      </c>
      <c r="H76" s="19">
        <f ca="1">OFFSET(database!AG7,$A$8-2,0)</f>
        <v>0</v>
      </c>
      <c r="I76" s="19">
        <f ca="1">OFFSET(database!AH7,$A$8-2,0)</f>
        <v>0</v>
      </c>
      <c r="L76" s="11"/>
      <c r="M76" s="11"/>
      <c r="N76" s="11">
        <f t="shared" ca="1" si="19"/>
        <v>0.375</v>
      </c>
      <c r="O76" s="11">
        <f t="shared" ca="1" si="20"/>
        <v>0</v>
      </c>
      <c r="P76" s="11">
        <f t="shared" ca="1" si="21"/>
        <v>0.25</v>
      </c>
      <c r="Q76" s="11">
        <f t="shared" ca="1" si="22"/>
        <v>0</v>
      </c>
    </row>
    <row r="77" spans="2:17" x14ac:dyDescent="0.2">
      <c r="B77" t="str">
        <f ca="1">OFFSET(database!AA8,$A$8-2,0)</f>
        <v/>
      </c>
      <c r="C77" s="19">
        <f ca="1">OFFSET(database!AB8,$A$8-2,0)</f>
        <v>0</v>
      </c>
      <c r="D77" s="19"/>
      <c r="E77" s="19">
        <f ca="1">OFFSET(database!AD8,$A$8-2,0)</f>
        <v>15000</v>
      </c>
      <c r="F77" s="19">
        <f ca="1">OFFSET(database!AE8,$A$8-2,0)</f>
        <v>0</v>
      </c>
      <c r="G77" s="19">
        <f ca="1">OFFSET(database!AF8,$A$8-2,0)</f>
        <v>10000</v>
      </c>
      <c r="H77" s="19">
        <f ca="1">OFFSET(database!AG8,$A$8-2,0)</f>
        <v>0</v>
      </c>
      <c r="I77" s="19">
        <f ca="1">OFFSET(database!AH8,$A$8-2,0)</f>
        <v>0</v>
      </c>
      <c r="N77" s="11">
        <f t="shared" ca="1" si="19"/>
        <v>0.375</v>
      </c>
      <c r="O77" s="11">
        <f t="shared" ca="1" si="20"/>
        <v>0</v>
      </c>
      <c r="P77" s="11">
        <f t="shared" ca="1" si="21"/>
        <v>0.25</v>
      </c>
      <c r="Q77" s="11">
        <f t="shared" ca="1" si="22"/>
        <v>0</v>
      </c>
    </row>
    <row r="78" spans="2:17" x14ac:dyDescent="0.2">
      <c r="B78" t="str">
        <f ca="1">OFFSET(database!AA9,$A$8-2,0)</f>
        <v>Daarna</v>
      </c>
      <c r="C78" s="19">
        <f ca="1">OFFSET(database!AB9,$A$8-2,0)</f>
        <v>0</v>
      </c>
      <c r="D78" s="19"/>
      <c r="E78" s="19">
        <f ca="1">OFFSET(database!AD9,$A$8-2,0)</f>
        <v>15000</v>
      </c>
      <c r="F78" s="19">
        <f ca="1">OFFSET(database!AE9,$A$8-2,0)</f>
        <v>0</v>
      </c>
      <c r="G78" s="19">
        <f ca="1">OFFSET(database!AF9,$A$8-2,0)</f>
        <v>0</v>
      </c>
      <c r="H78" s="19">
        <f ca="1">OFFSET(database!AG9,$A$8-2,0)</f>
        <v>0</v>
      </c>
      <c r="I78" s="19">
        <f ca="1">OFFSET(database!AH9,$A$8-2,0)</f>
        <v>0</v>
      </c>
      <c r="N78" s="11">
        <f t="shared" ca="1" si="19"/>
        <v>0.375</v>
      </c>
      <c r="O78" s="11">
        <f t="shared" ca="1" si="20"/>
        <v>0</v>
      </c>
      <c r="P78" s="11">
        <f t="shared" ca="1" si="21"/>
        <v>0</v>
      </c>
      <c r="Q78" s="11">
        <f t="shared" ca="1" si="22"/>
        <v>0</v>
      </c>
    </row>
    <row r="79" spans="2:17" x14ac:dyDescent="0.2">
      <c r="B79" t="str">
        <f ca="1">OFFSET(database!AA10,$A$8-2,0)</f>
        <v/>
      </c>
      <c r="C79" s="19">
        <f ca="1">OFFSET(database!AB10,$A$8-2,0)</f>
        <v>0</v>
      </c>
      <c r="D79" s="19"/>
      <c r="E79" s="19">
        <f ca="1">OFFSET(database!AD10,$A$8-2,0)</f>
        <v>15000</v>
      </c>
      <c r="F79" s="19">
        <f ca="1">OFFSET(database!AE10,$A$8-2,0)</f>
        <v>0</v>
      </c>
      <c r="G79" s="19">
        <f ca="1">OFFSET(database!AF10,$A$8-2,0)</f>
        <v>0</v>
      </c>
      <c r="H79" s="19">
        <f ca="1">OFFSET(database!AG10,$A$8-2,0)</f>
        <v>0</v>
      </c>
      <c r="I79" s="19">
        <f ca="1">OFFSET(database!AH10,$A$8-2,0)</f>
        <v>0</v>
      </c>
      <c r="N79" s="11">
        <f t="shared" ca="1" si="19"/>
        <v>0.375</v>
      </c>
      <c r="O79" s="11">
        <f t="shared" ca="1" si="20"/>
        <v>0</v>
      </c>
      <c r="P79" s="11">
        <f t="shared" ca="1" si="21"/>
        <v>0</v>
      </c>
      <c r="Q79" s="11">
        <f t="shared" ca="1" si="22"/>
        <v>0</v>
      </c>
    </row>
  </sheetData>
  <mergeCells count="5">
    <mergeCell ref="B1:E1"/>
    <mergeCell ref="S1:U1"/>
    <mergeCell ref="S2:AA2"/>
    <mergeCell ref="S25:AA25"/>
    <mergeCell ref="B2:K2"/>
  </mergeCells>
  <pageMargins left="0.7" right="0.7" top="0.75" bottom="0.75" header="0.3" footer="0.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D47D5FA-FC48-410B-A908-8A7A7CB6FED4}">
          <x14:formula1>
            <xm:f>INDIRECT("Lijst!$C$1:$C$"&amp;Lijst!C1)</xm:f>
          </x14:formula1>
          <xm:sqref>S1:U1</xm:sqref>
        </x14:dataValidation>
        <x14:dataValidation type="list" allowBlank="1" showInputMessage="1" showErrorMessage="1" xr:uid="{A50E5CE3-50D1-436B-A43A-9C0DC9FB0921}">
          <x14:formula1>
            <xm:f>INDIRECT("Lijst!$C$1:$C$"&amp;Lijst!A1)</xm:f>
          </x14:formula1>
          <xm:sqref>B1:E1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8E5F7-CFC1-4868-AF8C-BEC2FAEDB5B8}">
  <sheetPr codeName="Blad4"/>
  <dimension ref="A1:AG47"/>
  <sheetViews>
    <sheetView topLeftCell="A34" workbookViewId="0">
      <selection activeCell="H40" sqref="H40"/>
    </sheetView>
  </sheetViews>
  <sheetFormatPr defaultRowHeight="12.75" x14ac:dyDescent="0.2"/>
  <cols>
    <col min="6" max="6" width="13.7109375" bestFit="1" customWidth="1"/>
    <col min="7" max="7" width="25.7109375" bestFit="1" customWidth="1"/>
    <col min="8" max="8" width="25.7109375" customWidth="1"/>
    <col min="9" max="9" width="12.140625" bestFit="1" customWidth="1"/>
    <col min="10" max="10" width="15.42578125" bestFit="1" customWidth="1"/>
    <col min="11" max="11" width="23" bestFit="1" customWidth="1"/>
    <col min="12" max="12" width="23.140625" bestFit="1" customWidth="1"/>
    <col min="13" max="13" width="2" customWidth="1"/>
    <col min="14" max="14" width="25.7109375" bestFit="1" customWidth="1"/>
    <col min="15" max="15" width="25.7109375" customWidth="1"/>
    <col min="16" max="16" width="12.140625" bestFit="1" customWidth="1"/>
    <col min="17" max="17" width="15.42578125" bestFit="1" customWidth="1"/>
    <col min="18" max="18" width="23" bestFit="1" customWidth="1"/>
    <col min="19" max="19" width="23.140625" bestFit="1" customWidth="1"/>
    <col min="20" max="20" width="2" customWidth="1"/>
    <col min="21" max="21" width="25.7109375" bestFit="1" customWidth="1"/>
    <col min="22" max="22" width="25.7109375" customWidth="1"/>
    <col min="23" max="23" width="12.140625" bestFit="1" customWidth="1"/>
    <col min="24" max="24" width="15.42578125" bestFit="1" customWidth="1"/>
    <col min="25" max="25" width="23" bestFit="1" customWidth="1"/>
    <col min="26" max="26" width="23.140625" bestFit="1" customWidth="1"/>
    <col min="27" max="27" width="13.85546875" customWidth="1"/>
  </cols>
  <sheetData>
    <row r="1" spans="1:26" x14ac:dyDescent="0.2">
      <c r="A1" t="s">
        <v>54</v>
      </c>
      <c r="B1" t="s">
        <v>55</v>
      </c>
      <c r="C1" t="s">
        <v>58</v>
      </c>
      <c r="D1" t="s">
        <v>56</v>
      </c>
      <c r="F1" t="s">
        <v>57</v>
      </c>
      <c r="G1">
        <v>1</v>
      </c>
      <c r="I1">
        <v>2</v>
      </c>
      <c r="J1">
        <v>3</v>
      </c>
      <c r="K1">
        <v>4</v>
      </c>
      <c r="L1">
        <v>5</v>
      </c>
    </row>
    <row r="2" spans="1:26" x14ac:dyDescent="0.2">
      <c r="A2">
        <v>1</v>
      </c>
      <c r="B2" t="s">
        <v>50</v>
      </c>
      <c r="C2">
        <f>ROW(C2)</f>
        <v>2</v>
      </c>
      <c r="D2">
        <f>(0.35%*MIN(Inkomen,Max_SV))+(3.5%*70%*MAX(0,Inkomen-Max_SV))</f>
        <v>139.99999999999997</v>
      </c>
      <c r="F2" s="14" t="s">
        <v>37</v>
      </c>
      <c r="G2" s="14" t="s">
        <v>38</v>
      </c>
      <c r="H2" s="14"/>
      <c r="I2" s="14" t="s">
        <v>39</v>
      </c>
      <c r="J2" s="14" t="s">
        <v>40</v>
      </c>
      <c r="K2" s="14" t="s">
        <v>51</v>
      </c>
      <c r="L2" s="14" t="s">
        <v>52</v>
      </c>
      <c r="N2" s="14" t="s">
        <v>38</v>
      </c>
      <c r="O2" s="14"/>
      <c r="P2" s="14" t="s">
        <v>39</v>
      </c>
      <c r="Q2" s="14" t="s">
        <v>40</v>
      </c>
      <c r="R2" s="14" t="s">
        <v>51</v>
      </c>
      <c r="S2" s="14" t="s">
        <v>52</v>
      </c>
      <c r="U2" s="14" t="s">
        <v>38</v>
      </c>
      <c r="V2" s="14"/>
      <c r="W2" s="14" t="s">
        <v>39</v>
      </c>
      <c r="X2" s="14" t="s">
        <v>40</v>
      </c>
      <c r="Y2" s="14" t="s">
        <v>51</v>
      </c>
      <c r="Z2" s="14" t="s">
        <v>52</v>
      </c>
    </row>
    <row r="3" spans="1:26" ht="25.5" x14ac:dyDescent="0.2">
      <c r="C3">
        <f t="shared" ref="C3:C47" si="0">ROW(C3)</f>
        <v>3</v>
      </c>
      <c r="F3" s="15" t="s">
        <v>43</v>
      </c>
      <c r="G3" s="16">
        <f>100%*Inkomen</f>
        <v>40000</v>
      </c>
      <c r="H3" s="16"/>
      <c r="I3" s="14"/>
      <c r="J3" s="14"/>
      <c r="K3" s="14"/>
      <c r="L3" s="14"/>
      <c r="N3" s="16">
        <f>100%*Inkomen</f>
        <v>40000</v>
      </c>
      <c r="O3" s="16"/>
      <c r="P3" s="14"/>
      <c r="Q3" s="14"/>
      <c r="R3" s="14"/>
      <c r="S3" s="14"/>
      <c r="U3" s="16">
        <f>100%*Inkomen</f>
        <v>40000</v>
      </c>
      <c r="V3" s="16"/>
      <c r="W3" s="14"/>
      <c r="X3" s="14"/>
      <c r="Y3" s="14"/>
      <c r="Z3" s="14"/>
    </row>
    <row r="4" spans="1:26" ht="25.5" x14ac:dyDescent="0.2">
      <c r="C4">
        <f t="shared" si="0"/>
        <v>4</v>
      </c>
      <c r="F4" s="15" t="s">
        <v>44</v>
      </c>
      <c r="G4" s="16">
        <f>70%*Inkomen</f>
        <v>28000</v>
      </c>
      <c r="H4" s="16"/>
      <c r="I4" s="14"/>
      <c r="J4" s="14"/>
      <c r="K4" s="14"/>
      <c r="L4" s="14"/>
      <c r="N4" s="16">
        <f>70%*Inkomen</f>
        <v>28000</v>
      </c>
      <c r="O4" s="16"/>
      <c r="P4" s="14"/>
      <c r="Q4" s="14"/>
      <c r="R4" s="14"/>
      <c r="S4" s="14"/>
      <c r="U4" s="16">
        <f>70%*Inkomen</f>
        <v>28000</v>
      </c>
      <c r="V4" s="16"/>
      <c r="W4" s="14"/>
      <c r="X4" s="14"/>
      <c r="Y4" s="14"/>
      <c r="Z4" s="14"/>
    </row>
    <row r="5" spans="1:26" ht="51" x14ac:dyDescent="0.2">
      <c r="C5">
        <f t="shared" si="0"/>
        <v>5</v>
      </c>
      <c r="F5" s="15" t="s">
        <v>45</v>
      </c>
      <c r="G5" s="14"/>
      <c r="H5" s="14"/>
      <c r="I5" s="16"/>
      <c r="J5" s="16">
        <f>Uitkeringen!$D$16</f>
        <v>28000</v>
      </c>
      <c r="K5" s="16">
        <f>70%*MIN(Max_SV,Inkomen)-database!J5</f>
        <v>0</v>
      </c>
      <c r="L5" s="16">
        <f>70%*MAX(0,Inkomen-Max_SV)*50%</f>
        <v>0</v>
      </c>
      <c r="N5" s="14"/>
      <c r="O5" s="14"/>
      <c r="P5" s="16">
        <f>ROUNDUP(50%*(1-0.5)*Inkomen,-2)</f>
        <v>10000</v>
      </c>
      <c r="Q5" s="16">
        <f>Uitkeringen!$D$33</f>
        <v>21000</v>
      </c>
      <c r="R5" s="16">
        <f>75%*(MIN(Max_SV,Inkomen)-P5*MIN(1,Max_SV/Inkomen))-database!Q5</f>
        <v>1500</v>
      </c>
      <c r="S5" s="16">
        <f>70%*MAX(0,Inkomen-Max_SV)*50%</f>
        <v>0</v>
      </c>
      <c r="U5" s="14"/>
      <c r="V5" s="14"/>
      <c r="W5" s="16"/>
      <c r="X5" s="16">
        <f>Uitkeringen!$D$50</f>
        <v>28000</v>
      </c>
      <c r="Y5" s="16">
        <f>70%*(MIN(Max_SV,Inkomen)-W5*(MAX(1,Max_SV/Inkomen))-database!X5)</f>
        <v>8400</v>
      </c>
      <c r="Z5" s="16">
        <f>70%*MAX(0,Inkomen-Max_SV)*50%</f>
        <v>0</v>
      </c>
    </row>
    <row r="6" spans="1:26" ht="51" x14ac:dyDescent="0.2">
      <c r="C6">
        <f t="shared" si="0"/>
        <v>6</v>
      </c>
      <c r="F6" s="15" t="s">
        <v>46</v>
      </c>
      <c r="G6" s="14"/>
      <c r="H6" s="14"/>
      <c r="I6" s="16"/>
      <c r="J6" s="16">
        <f>J5</f>
        <v>28000</v>
      </c>
      <c r="K6" s="16">
        <f>70%*MIN(Max_SV,Inkomen)-database!J6</f>
        <v>0</v>
      </c>
      <c r="L6" s="16">
        <f>L5</f>
        <v>0</v>
      </c>
      <c r="N6" s="14"/>
      <c r="O6" s="14"/>
      <c r="P6" s="16">
        <f>P5</f>
        <v>10000</v>
      </c>
      <c r="Q6" s="16">
        <f>Q5</f>
        <v>21000</v>
      </c>
      <c r="R6" s="16">
        <f>75%*(MIN(Max_SV,Inkomen)-P6*MIN(1,Max_SV/Inkomen))-database!Q6</f>
        <v>1500</v>
      </c>
      <c r="S6" s="16">
        <f>S5</f>
        <v>0</v>
      </c>
      <c r="U6" s="14"/>
      <c r="V6" s="14"/>
      <c r="W6" s="16"/>
      <c r="X6" s="16">
        <f>X5</f>
        <v>28000</v>
      </c>
      <c r="Y6" s="16">
        <f>70%*(MIN(Max_SV,Inkomen)-W6*(MAX(1,Max_SV/Inkomen))-database!X6)</f>
        <v>8400</v>
      </c>
      <c r="Z6" s="16">
        <f>Z5</f>
        <v>0</v>
      </c>
    </row>
    <row r="7" spans="1:26" ht="38.25" x14ac:dyDescent="0.2">
      <c r="C7">
        <f t="shared" si="0"/>
        <v>7</v>
      </c>
      <c r="F7" s="15" t="s">
        <v>47</v>
      </c>
      <c r="G7" s="14"/>
      <c r="H7" s="14"/>
      <c r="I7" s="16"/>
      <c r="J7" s="16">
        <f>Uitkeringen!$E$16</f>
        <v>9942.0999999999985</v>
      </c>
      <c r="K7" s="16">
        <f>70%*MIN(Max_SV,Inkomen)-database!J7</f>
        <v>18057.900000000001</v>
      </c>
      <c r="L7" s="16">
        <f>L6</f>
        <v>0</v>
      </c>
      <c r="N7" s="14"/>
      <c r="O7" s="14"/>
      <c r="P7" s="16">
        <f>P6</f>
        <v>10000</v>
      </c>
      <c r="Q7" s="16">
        <f>Uitkeringen!$E$33</f>
        <v>14000</v>
      </c>
      <c r="R7" s="16">
        <f>75%*(MIN(Max_SV,Inkomen)-P7*MIN(1,Max_SV/Inkomen))-database!Q7</f>
        <v>8500</v>
      </c>
      <c r="S7" s="16">
        <f>S6</f>
        <v>0</v>
      </c>
      <c r="U7" s="14"/>
      <c r="V7" s="14"/>
      <c r="W7" s="16"/>
      <c r="X7" s="16">
        <f>Uitkeringen!$E$50</f>
        <v>28000</v>
      </c>
      <c r="Y7" s="16">
        <f>70%*(MIN(Max_SV,Inkomen)-W7*(MAX(1,Max_SV/Inkomen))-database!X7)</f>
        <v>8400</v>
      </c>
      <c r="Z7" s="16">
        <f>Z6</f>
        <v>0</v>
      </c>
    </row>
    <row r="8" spans="1:26" x14ac:dyDescent="0.2">
      <c r="C8">
        <f t="shared" si="0"/>
        <v>8</v>
      </c>
      <c r="F8" s="14" t="s">
        <v>48</v>
      </c>
      <c r="G8" s="14"/>
      <c r="H8" s="14"/>
      <c r="I8" s="16"/>
      <c r="J8" s="16">
        <f>J7</f>
        <v>9942.0999999999985</v>
      </c>
      <c r="K8" s="16">
        <f>70%*MIN(Max_SV,Inkomen)-database!J8</f>
        <v>18057.900000000001</v>
      </c>
      <c r="L8" s="16">
        <f>L7</f>
        <v>0</v>
      </c>
      <c r="N8" s="14"/>
      <c r="O8" s="14"/>
      <c r="P8" s="16">
        <f>P7</f>
        <v>10000</v>
      </c>
      <c r="Q8" s="16">
        <f>Q7</f>
        <v>14000</v>
      </c>
      <c r="R8" s="16">
        <f>75%*(MIN(Max_SV,Inkomen)-P8*MIN(1,Max_SV/Inkomen))-database!Q8</f>
        <v>8500</v>
      </c>
      <c r="S8" s="16">
        <f>S7</f>
        <v>0</v>
      </c>
      <c r="U8" s="14"/>
      <c r="V8" s="14"/>
      <c r="W8" s="16"/>
      <c r="X8" s="16">
        <f>X7</f>
        <v>28000</v>
      </c>
      <c r="Y8" s="16">
        <f>70%*(MIN(Max_SV,Inkomen)-W8*(MAX(1,Max_SV/Inkomen))-database!X8)</f>
        <v>8400</v>
      </c>
      <c r="Z8" s="16">
        <f>Z7</f>
        <v>0</v>
      </c>
    </row>
    <row r="9" spans="1:26" x14ac:dyDescent="0.2">
      <c r="C9">
        <f t="shared" si="0"/>
        <v>9</v>
      </c>
      <c r="F9" s="14" t="s">
        <v>49</v>
      </c>
      <c r="G9" s="14"/>
      <c r="H9" s="14"/>
      <c r="I9" s="16"/>
      <c r="J9" s="16">
        <f>J8</f>
        <v>9942.0999999999985</v>
      </c>
      <c r="K9" s="16">
        <f>70%*MIN(Max_SV,Inkomen)-database!J9</f>
        <v>18057.900000000001</v>
      </c>
      <c r="L9" s="16">
        <f>L8</f>
        <v>0</v>
      </c>
      <c r="N9" s="14"/>
      <c r="O9" s="14"/>
      <c r="P9" s="16">
        <f>P8</f>
        <v>10000</v>
      </c>
      <c r="Q9" s="16">
        <f>Q8</f>
        <v>14000</v>
      </c>
      <c r="R9" s="16">
        <f>75%*(MIN(Max_SV,Inkomen)-P9*MIN(1,Max_SV/Inkomen))-database!Q9</f>
        <v>8500</v>
      </c>
      <c r="S9" s="16">
        <f>S8</f>
        <v>0</v>
      </c>
      <c r="U9" s="14"/>
      <c r="V9" s="14"/>
      <c r="W9" s="16"/>
      <c r="X9" s="16">
        <f>X8</f>
        <v>28000</v>
      </c>
      <c r="Y9" s="16">
        <f>70%*(MIN(Max_SV,Inkomen)-W9*(MAX(1,Max_SV/Inkomen))-database!X9)</f>
        <v>8400</v>
      </c>
      <c r="Z9" s="16">
        <f>Z8</f>
        <v>0</v>
      </c>
    </row>
    <row r="10" spans="1:26" x14ac:dyDescent="0.2">
      <c r="C10">
        <f t="shared" si="0"/>
        <v>10</v>
      </c>
      <c r="F10" s="14"/>
      <c r="G10" s="14"/>
      <c r="H10" s="14"/>
      <c r="I10" s="16"/>
      <c r="J10" s="16">
        <f>J9</f>
        <v>9942.0999999999985</v>
      </c>
      <c r="K10" s="16">
        <f>70%*MIN(Max_SV,Inkomen)-database!J10</f>
        <v>18057.900000000001</v>
      </c>
      <c r="L10" s="16">
        <f>L9</f>
        <v>0</v>
      </c>
      <c r="N10" s="14"/>
      <c r="O10" s="14"/>
      <c r="P10" s="16">
        <f>P9</f>
        <v>10000</v>
      </c>
      <c r="Q10" s="16">
        <f>Q9</f>
        <v>14000</v>
      </c>
      <c r="R10" s="16">
        <f>75%*(MIN(Max_SV,Inkomen)-P10*MIN(1,Max_SV/Inkomen))-database!Q10</f>
        <v>8500</v>
      </c>
      <c r="S10" s="16">
        <f>S9</f>
        <v>0</v>
      </c>
      <c r="U10" s="14"/>
      <c r="V10" s="14"/>
      <c r="W10" s="16"/>
      <c r="X10" s="16">
        <f>X9</f>
        <v>28000</v>
      </c>
      <c r="Y10" s="16">
        <f>70%*(MIN(Max_SV,Inkomen)-W10*(MAX(1,Max_SV/Inkomen))-database!X10)</f>
        <v>8400</v>
      </c>
      <c r="Z10" s="16">
        <f>Z9</f>
        <v>0</v>
      </c>
    </row>
    <row r="11" spans="1:26" x14ac:dyDescent="0.2">
      <c r="C11">
        <f t="shared" si="0"/>
        <v>11</v>
      </c>
    </row>
    <row r="12" spans="1:26" x14ac:dyDescent="0.2">
      <c r="A12">
        <v>2</v>
      </c>
      <c r="B12" t="s">
        <v>53</v>
      </c>
      <c r="C12">
        <f t="shared" si="0"/>
        <v>12</v>
      </c>
      <c r="D12">
        <f>0.15%*Inkomen</f>
        <v>60</v>
      </c>
      <c r="F12" s="14" t="s">
        <v>37</v>
      </c>
      <c r="G12" s="14" t="s">
        <v>38</v>
      </c>
      <c r="H12" s="14"/>
      <c r="I12" s="14" t="s">
        <v>39</v>
      </c>
      <c r="J12" s="14" t="s">
        <v>40</v>
      </c>
      <c r="K12" s="14" t="s">
        <v>41</v>
      </c>
      <c r="L12" s="14" t="s">
        <v>42</v>
      </c>
      <c r="N12" s="14" t="s">
        <v>38</v>
      </c>
      <c r="O12" s="14"/>
      <c r="P12" s="14" t="s">
        <v>39</v>
      </c>
      <c r="Q12" s="14" t="s">
        <v>40</v>
      </c>
      <c r="R12" s="14" t="s">
        <v>41</v>
      </c>
      <c r="S12" s="14" t="s">
        <v>42</v>
      </c>
      <c r="U12" s="14" t="s">
        <v>38</v>
      </c>
      <c r="V12" s="14"/>
      <c r="W12" s="14" t="s">
        <v>39</v>
      </c>
      <c r="X12" s="14" t="s">
        <v>40</v>
      </c>
      <c r="Y12" s="14" t="s">
        <v>41</v>
      </c>
      <c r="Z12" s="14" t="s">
        <v>42</v>
      </c>
    </row>
    <row r="13" spans="1:26" ht="25.5" x14ac:dyDescent="0.2">
      <c r="C13">
        <f t="shared" si="0"/>
        <v>13</v>
      </c>
      <c r="F13" s="15" t="s">
        <v>43</v>
      </c>
      <c r="G13" s="16">
        <f>100%*Inkomen</f>
        <v>40000</v>
      </c>
      <c r="H13" s="16"/>
      <c r="I13" s="14"/>
      <c r="J13" s="14"/>
      <c r="K13" s="14"/>
      <c r="L13" s="14"/>
      <c r="N13" s="16">
        <f>100%*Inkomen</f>
        <v>40000</v>
      </c>
      <c r="O13" s="16"/>
      <c r="P13" s="14"/>
      <c r="Q13" s="14"/>
      <c r="R13" s="14"/>
      <c r="S13" s="14"/>
      <c r="U13" s="16">
        <f>100%*Inkomen</f>
        <v>40000</v>
      </c>
      <c r="V13" s="16"/>
      <c r="W13" s="14"/>
      <c r="X13" s="14"/>
      <c r="Y13" s="14"/>
      <c r="Z13" s="14"/>
    </row>
    <row r="14" spans="1:26" ht="25.5" x14ac:dyDescent="0.2">
      <c r="C14">
        <f t="shared" si="0"/>
        <v>14</v>
      </c>
      <c r="F14" s="15" t="s">
        <v>44</v>
      </c>
      <c r="G14" s="16">
        <f>70%*Inkomen</f>
        <v>28000</v>
      </c>
      <c r="H14" s="16"/>
      <c r="I14" s="14"/>
      <c r="J14" s="14"/>
      <c r="K14" s="14"/>
      <c r="L14" s="14"/>
      <c r="N14" s="16">
        <f>70%*Inkomen</f>
        <v>28000</v>
      </c>
      <c r="O14" s="16"/>
      <c r="P14" s="14"/>
      <c r="Q14" s="14"/>
      <c r="R14" s="14"/>
      <c r="S14" s="14"/>
      <c r="U14" s="16">
        <f>70%*Inkomen</f>
        <v>28000</v>
      </c>
      <c r="V14" s="16"/>
      <c r="W14" s="14"/>
      <c r="X14" s="14"/>
      <c r="Y14" s="14"/>
      <c r="Z14" s="14"/>
    </row>
    <row r="15" spans="1:26" ht="51" x14ac:dyDescent="0.2">
      <c r="C15">
        <f t="shared" si="0"/>
        <v>15</v>
      </c>
      <c r="F15" s="15" t="s">
        <v>45</v>
      </c>
      <c r="G15" s="14"/>
      <c r="H15" s="14"/>
      <c r="I15" s="16"/>
      <c r="J15" s="16">
        <f>Uitkeringen!$D$16</f>
        <v>28000</v>
      </c>
      <c r="K15" s="16">
        <f>70%*MAX(0,Inkomen-Max_SV)*50%</f>
        <v>0</v>
      </c>
      <c r="L15" s="16">
        <f>MAX(0,70%*(Inkomen-I15)-J15-K15)</f>
        <v>0</v>
      </c>
      <c r="N15" s="14"/>
      <c r="O15" s="14"/>
      <c r="P15" s="16">
        <f>ROUNDUP(50%*(1-0.5)*Inkomen,-2)</f>
        <v>10000</v>
      </c>
      <c r="Q15" s="16">
        <f>Uitkeringen!$D$33</f>
        <v>21000</v>
      </c>
      <c r="R15" s="16">
        <f>70%*MAX(0,Inkomen-Max_SV)*50%</f>
        <v>0</v>
      </c>
      <c r="S15" s="16">
        <f t="shared" ref="S15:S20" si="1">MAX(0,70%*(Inkomen-P15)-Q15-R15)+(10%*(Inkomen-P15))</f>
        <v>3000</v>
      </c>
      <c r="U15" s="14"/>
      <c r="V15" s="14"/>
      <c r="W15" s="16"/>
      <c r="X15" s="16">
        <f>Uitkeringen!$D$50</f>
        <v>28000</v>
      </c>
      <c r="Y15" s="16">
        <f>70%*MAX(0,Inkomen-Max_SV)*50%</f>
        <v>0</v>
      </c>
      <c r="Z15" s="16"/>
    </row>
    <row r="16" spans="1:26" ht="51" x14ac:dyDescent="0.2">
      <c r="C16">
        <f t="shared" si="0"/>
        <v>16</v>
      </c>
      <c r="F16" s="15" t="s">
        <v>46</v>
      </c>
      <c r="G16" s="14"/>
      <c r="H16" s="14"/>
      <c r="I16" s="16"/>
      <c r="J16" s="16">
        <f>J15</f>
        <v>28000</v>
      </c>
      <c r="K16" s="16">
        <f>K15</f>
        <v>0</v>
      </c>
      <c r="L16" s="16">
        <f>L15</f>
        <v>0</v>
      </c>
      <c r="N16" s="14"/>
      <c r="O16" s="14"/>
      <c r="P16" s="16">
        <f>P15</f>
        <v>10000</v>
      </c>
      <c r="Q16" s="16">
        <f>Q15</f>
        <v>21000</v>
      </c>
      <c r="R16" s="16">
        <f>R15</f>
        <v>0</v>
      </c>
      <c r="S16" s="16">
        <f t="shared" si="1"/>
        <v>3000</v>
      </c>
      <c r="U16" s="14"/>
      <c r="V16" s="14"/>
      <c r="W16" s="16"/>
      <c r="X16" s="16">
        <f>X15</f>
        <v>28000</v>
      </c>
      <c r="Y16" s="16">
        <f>Y15</f>
        <v>0</v>
      </c>
      <c r="Z16" s="16"/>
    </row>
    <row r="17" spans="1:26" ht="38.25" x14ac:dyDescent="0.2">
      <c r="C17">
        <f t="shared" si="0"/>
        <v>17</v>
      </c>
      <c r="F17" s="15" t="s">
        <v>47</v>
      </c>
      <c r="G17" s="14"/>
      <c r="H17" s="14"/>
      <c r="I17" s="16"/>
      <c r="J17" s="16">
        <f>Uitkeringen!$E$16</f>
        <v>9942.0999999999985</v>
      </c>
      <c r="K17" s="16">
        <f>MAX(0,35%*(MIN(G7,Max_SV)-Min_loon))+(70%*MAX(0,Inkomen-Max_SV)*50%)</f>
        <v>16610.3</v>
      </c>
      <c r="L17" s="16">
        <f>MAX(0,70%*(Inkomen-I17)-J17-K17)</f>
        <v>1447.6000000000022</v>
      </c>
      <c r="N17" s="14"/>
      <c r="O17" s="14"/>
      <c r="P17" s="16">
        <f>P16</f>
        <v>10000</v>
      </c>
      <c r="Q17" s="16">
        <f>Uitkeringen!$E$33</f>
        <v>14000</v>
      </c>
      <c r="R17" s="16">
        <f>70%*MAX(0,Inkomen-Max_SV)*50%</f>
        <v>0</v>
      </c>
      <c r="S17" s="16">
        <f t="shared" si="1"/>
        <v>10000</v>
      </c>
      <c r="U17" s="14"/>
      <c r="V17" s="14"/>
      <c r="W17" s="16"/>
      <c r="X17" s="16">
        <f>Uitkeringen!$E$50</f>
        <v>28000</v>
      </c>
      <c r="Y17" s="16">
        <f>Y16</f>
        <v>0</v>
      </c>
      <c r="Z17" s="16"/>
    </row>
    <row r="18" spans="1:26" x14ac:dyDescent="0.2">
      <c r="C18">
        <f t="shared" si="0"/>
        <v>18</v>
      </c>
      <c r="F18" s="14" t="s">
        <v>48</v>
      </c>
      <c r="G18" s="14"/>
      <c r="H18" s="14"/>
      <c r="I18" s="16"/>
      <c r="J18" s="16">
        <f t="shared" ref="J18:L20" si="2">J17</f>
        <v>9942.0999999999985</v>
      </c>
      <c r="K18" s="16">
        <f t="shared" si="2"/>
        <v>16610.3</v>
      </c>
      <c r="L18" s="16">
        <f t="shared" si="2"/>
        <v>1447.6000000000022</v>
      </c>
      <c r="N18" s="14"/>
      <c r="O18" s="14"/>
      <c r="P18" s="16">
        <f>P17</f>
        <v>10000</v>
      </c>
      <c r="Q18" s="16">
        <f t="shared" ref="Q18:R20" si="3">Q17</f>
        <v>14000</v>
      </c>
      <c r="R18" s="16">
        <f t="shared" si="3"/>
        <v>0</v>
      </c>
      <c r="S18" s="16">
        <f t="shared" si="1"/>
        <v>10000</v>
      </c>
      <c r="U18" s="14"/>
      <c r="V18" s="14"/>
      <c r="W18" s="16"/>
      <c r="X18" s="16">
        <f>X17</f>
        <v>28000</v>
      </c>
      <c r="Y18" s="16">
        <f>Y17</f>
        <v>0</v>
      </c>
      <c r="Z18" s="16"/>
    </row>
    <row r="19" spans="1:26" x14ac:dyDescent="0.2">
      <c r="C19">
        <f t="shared" si="0"/>
        <v>19</v>
      </c>
      <c r="F19" s="14" t="s">
        <v>49</v>
      </c>
      <c r="G19" s="14"/>
      <c r="H19" s="14"/>
      <c r="I19" s="16"/>
      <c r="J19" s="16">
        <f t="shared" si="2"/>
        <v>9942.0999999999985</v>
      </c>
      <c r="K19" s="16">
        <f t="shared" si="2"/>
        <v>16610.3</v>
      </c>
      <c r="L19" s="16">
        <f t="shared" si="2"/>
        <v>1447.6000000000022</v>
      </c>
      <c r="N19" s="14"/>
      <c r="O19" s="14"/>
      <c r="P19" s="16">
        <f>P18</f>
        <v>10000</v>
      </c>
      <c r="Q19" s="16">
        <f t="shared" si="3"/>
        <v>14000</v>
      </c>
      <c r="R19" s="16">
        <f t="shared" si="3"/>
        <v>0</v>
      </c>
      <c r="S19" s="16">
        <f t="shared" si="1"/>
        <v>10000</v>
      </c>
      <c r="U19" s="14"/>
      <c r="V19" s="14"/>
      <c r="W19" s="16"/>
      <c r="X19" s="16">
        <f>X18</f>
        <v>28000</v>
      </c>
      <c r="Y19" s="16">
        <f>Y18</f>
        <v>0</v>
      </c>
      <c r="Z19" s="16"/>
    </row>
    <row r="20" spans="1:26" x14ac:dyDescent="0.2">
      <c r="C20">
        <f t="shared" si="0"/>
        <v>20</v>
      </c>
      <c r="F20" s="14"/>
      <c r="G20" s="14"/>
      <c r="H20" s="14"/>
      <c r="I20" s="16"/>
      <c r="J20" s="16">
        <f t="shared" si="2"/>
        <v>9942.0999999999985</v>
      </c>
      <c r="K20" s="16">
        <f t="shared" si="2"/>
        <v>16610.3</v>
      </c>
      <c r="L20" s="16">
        <f t="shared" si="2"/>
        <v>1447.6000000000022</v>
      </c>
      <c r="N20" s="14"/>
      <c r="O20" s="14"/>
      <c r="P20" s="16">
        <f>P19</f>
        <v>10000</v>
      </c>
      <c r="Q20" s="16">
        <f t="shared" si="3"/>
        <v>14000</v>
      </c>
      <c r="R20" s="16">
        <f t="shared" si="3"/>
        <v>0</v>
      </c>
      <c r="S20" s="16">
        <f t="shared" si="1"/>
        <v>10000</v>
      </c>
      <c r="U20" s="14"/>
      <c r="V20" s="14"/>
      <c r="W20" s="16"/>
      <c r="X20" s="16">
        <f>X19</f>
        <v>28000</v>
      </c>
      <c r="Y20" s="16">
        <f>Y19</f>
        <v>0</v>
      </c>
      <c r="Z20" s="16"/>
    </row>
    <row r="21" spans="1:26" x14ac:dyDescent="0.2">
      <c r="A21">
        <v>3</v>
      </c>
      <c r="B21" t="s">
        <v>78</v>
      </c>
      <c r="C21">
        <f t="shared" si="0"/>
        <v>21</v>
      </c>
      <c r="D21">
        <f>25%*(0.326%*MIN(Max_SV,Hiaatloon1))</f>
        <v>32.6</v>
      </c>
      <c r="E21" t="str">
        <f>IF(Inkomen=0,"","De aanvullende verzekeringen van "&amp;B21&amp;" vullen je inkomen aan tot "&amp;TEXT(SUM(I26:L26)/G22,"##%")&amp;" van je oude loon. Zonder deze verzekering kom je uit op "&amp;TEXT(SUM(I26:J26)/G22,"##%")&amp;" van je oude loon")</f>
        <v>De aanvullende verzekeringen van VLC &amp; Partners vullen je inkomen aan tot 70% van je oude loon. Zonder deze verzekering kom je uit op 25% van je oude loon</v>
      </c>
      <c r="F21" s="14" t="s">
        <v>37</v>
      </c>
      <c r="G21" s="14" t="s">
        <v>23</v>
      </c>
      <c r="H21" s="14"/>
      <c r="I21" s="14" t="s">
        <v>10</v>
      </c>
      <c r="J21" s="14" t="s">
        <v>118</v>
      </c>
      <c r="K21" s="14" t="s">
        <v>119</v>
      </c>
      <c r="L21" s="14" t="s">
        <v>120</v>
      </c>
      <c r="N21" s="14" t="str">
        <f>G21</f>
        <v>Loondoorbetaling bij ziekte</v>
      </c>
      <c r="O21" s="14"/>
      <c r="P21" s="14" t="str">
        <f>I21</f>
        <v>Nieuw loon</v>
      </c>
      <c r="Q21" s="14" t="str">
        <f>J21</f>
        <v>WGA uitkering (WIA index)</v>
      </c>
      <c r="R21" s="14" t="str">
        <f>K21</f>
        <v>WGA Hiaat Uitgebreid (WIA index)</v>
      </c>
      <c r="S21" s="14" t="str">
        <f>L21</f>
        <v>WIA Excedent (2% index)</v>
      </c>
      <c r="U21" s="14" t="str">
        <f>N21</f>
        <v>Loondoorbetaling bij ziekte</v>
      </c>
      <c r="V21" s="14"/>
      <c r="W21" s="14" t="str">
        <f>P21</f>
        <v>Nieuw loon</v>
      </c>
      <c r="X21" s="14" t="str">
        <f>Q21</f>
        <v>WGA uitkering (WIA index)</v>
      </c>
      <c r="Y21" s="14" t="str">
        <f>R21</f>
        <v>WGA Hiaat Uitgebreid (WIA index)</v>
      </c>
      <c r="Z21" s="14" t="str">
        <f>S21</f>
        <v>WIA Excedent (2% index)</v>
      </c>
    </row>
    <row r="22" spans="1:26" x14ac:dyDescent="0.2">
      <c r="C22">
        <f t="shared" si="0"/>
        <v>22</v>
      </c>
      <c r="D22">
        <f>25%*(2.19%*Excedent1)</f>
        <v>0</v>
      </c>
      <c r="E22" t="str">
        <f>IF(Inkomen=0,"","De aanvullende verzekeringen van "&amp;B21&amp;" vullen je inkomen aan tot "&amp;TEXT(SUM(P26:S26)/G22,"##%")&amp;" van je oude loon. Zonder deze verzekering kom je uit op "&amp;TEXT(SUM(P26:Q26)/G22,"##%")&amp;" van je oude loon")</f>
        <v>De aanvullende verzekeringen van VLC &amp; Partners vullen je inkomen aan tot 83% van je oude loon. Zonder deze verzekering kom je uit op 60% van je oude loon</v>
      </c>
      <c r="F22" s="15" t="s">
        <v>19</v>
      </c>
      <c r="G22" s="16">
        <f>100%*Inkomen</f>
        <v>40000</v>
      </c>
      <c r="H22" s="16"/>
      <c r="I22" s="14"/>
      <c r="J22" s="14"/>
      <c r="K22" s="14"/>
      <c r="L22" s="14"/>
      <c r="N22" s="16">
        <f>100%*Inkomen</f>
        <v>40000</v>
      </c>
      <c r="O22" s="16"/>
      <c r="P22" s="14"/>
      <c r="Q22" s="14"/>
      <c r="R22" s="14"/>
      <c r="S22" s="14"/>
      <c r="U22" s="16">
        <f>100%*Inkomen</f>
        <v>40000</v>
      </c>
      <c r="V22" s="16"/>
      <c r="W22" s="14"/>
      <c r="X22" s="14"/>
      <c r="Y22" s="14"/>
      <c r="Z22" s="14"/>
    </row>
    <row r="23" spans="1:26" x14ac:dyDescent="0.2">
      <c r="C23">
        <f t="shared" si="0"/>
        <v>23</v>
      </c>
      <c r="D23">
        <f>SUM(D21:D22)</f>
        <v>32.6</v>
      </c>
      <c r="E23" t="str">
        <f ca="1">IF(Inkomen=0,"",IF(SUM($Y$24:$Z$29)=0,"De verzekering via "&amp;B21&amp;" hoeft in deze situatie niet uit te keren omdat je met de uitkering vanuit de overheid al tot een inkomen komt van "&amp;TEXT(SUM(Grafiekblad!N58:P58),"##%")&amp;" van je oude loon.","De aanvullende verzekeringen van "&amp;B21&amp;" vullen je inkomen aan tot "&amp;TEXT(SUM(W26:Z26)/G22,"##%")&amp;" van je oude loon. Zonder deze verzekering kom je uit op "&amp;TEXT(SUM(W26:X26)/G22,"##%")&amp;" van je oude loon"))</f>
        <v>De verzekering via VLC &amp; Partners hoeft in deze situatie niet uit te keren omdat je met de uitkering vanuit de overheid al tot een inkomen komt van 70% van je oude loon.</v>
      </c>
      <c r="F23" s="15" t="s">
        <v>20</v>
      </c>
      <c r="G23" s="16">
        <f>70%*Inkomen</f>
        <v>28000</v>
      </c>
      <c r="H23" s="16"/>
      <c r="I23" s="14"/>
      <c r="J23" s="14"/>
      <c r="K23" s="14"/>
      <c r="L23" s="14"/>
      <c r="N23" s="16">
        <f>70%*Inkomen</f>
        <v>28000</v>
      </c>
      <c r="O23" s="16"/>
      <c r="P23" s="14"/>
      <c r="Q23" s="14"/>
      <c r="R23" s="14"/>
      <c r="S23" s="14"/>
      <c r="U23" s="16">
        <f>70%*Inkomen</f>
        <v>28000</v>
      </c>
      <c r="V23" s="16"/>
      <c r="W23" s="14"/>
      <c r="X23" s="14"/>
      <c r="Y23" s="14"/>
      <c r="Z23" s="14"/>
    </row>
    <row r="24" spans="1:26" ht="38.25" x14ac:dyDescent="0.2">
      <c r="C24">
        <f t="shared" si="0"/>
        <v>24</v>
      </c>
      <c r="F24" s="15" t="s">
        <v>21</v>
      </c>
      <c r="G24" s="14"/>
      <c r="H24" s="14"/>
      <c r="I24" s="16"/>
      <c r="J24" s="16">
        <f>Uitkeringen!$D$16</f>
        <v>28000</v>
      </c>
      <c r="K24" s="16">
        <f>70%*MIN(Max_SV,Hiaatloon1)-J24</f>
        <v>0</v>
      </c>
      <c r="L24" s="16">
        <f>Excedent1*50%</f>
        <v>0</v>
      </c>
      <c r="N24" s="14"/>
      <c r="O24" s="14"/>
      <c r="P24" s="16">
        <f>ROUNDUP(50%*(1-0.5)*Inkomen,-2)</f>
        <v>10000</v>
      </c>
      <c r="Q24" s="16">
        <f>Uitkeringen!$D$33</f>
        <v>21000</v>
      </c>
      <c r="R24" s="16">
        <f>MAX(0,(70%*(MIN(Max_SV,Hiaatloon1)-P24)-Q24))+(5%*MIN(Max_SV,Hiaatloon1))</f>
        <v>2000</v>
      </c>
      <c r="S24" s="16">
        <f>Excedent1*50%</f>
        <v>0</v>
      </c>
      <c r="U24" s="14"/>
      <c r="V24" s="14"/>
      <c r="W24" s="16"/>
      <c r="X24" s="16">
        <f>Uitkeringen!$D$50</f>
        <v>28000</v>
      </c>
      <c r="Y24" s="16"/>
      <c r="Z24" s="16">
        <f>Excedent1*100%</f>
        <v>0</v>
      </c>
    </row>
    <row r="25" spans="1:26" ht="25.5" x14ac:dyDescent="0.2">
      <c r="C25">
        <f t="shared" si="0"/>
        <v>25</v>
      </c>
      <c r="F25" s="15" t="str">
        <f>IF('AOW datum'!D4&lt;=70,"tot AOW (max 70jr)","tot max. leeftijd 70")</f>
        <v>tot max. leeftijd 70</v>
      </c>
      <c r="G25" s="14"/>
      <c r="H25" s="14"/>
      <c r="I25" s="16"/>
      <c r="J25" s="16">
        <f>Uitkeringen!$E$16</f>
        <v>9942.0999999999985</v>
      </c>
      <c r="K25" s="16">
        <f>70%*MIN(Max_SV,Hiaatloon1)-J25</f>
        <v>18057.900000000001</v>
      </c>
      <c r="L25" s="16">
        <f>L24</f>
        <v>0</v>
      </c>
      <c r="N25" s="14"/>
      <c r="O25" s="14"/>
      <c r="P25" s="16">
        <f>P24</f>
        <v>10000</v>
      </c>
      <c r="Q25" s="16">
        <f>Uitkeringen!$E$33</f>
        <v>14000</v>
      </c>
      <c r="R25" s="16">
        <f>MAX(0,(70%*(MIN(Max_SV,Hiaatloon1)-P25)-Q25))+(5%*MIN(Max_SV,Hiaatloon1))</f>
        <v>9000</v>
      </c>
      <c r="S25" s="16">
        <f>S24</f>
        <v>0</v>
      </c>
      <c r="U25" s="14"/>
      <c r="V25" s="14"/>
      <c r="W25" s="16"/>
      <c r="X25" s="16">
        <f>X24</f>
        <v>28000</v>
      </c>
      <c r="Y25" s="16"/>
      <c r="Z25" s="16">
        <f>Z24</f>
        <v>0</v>
      </c>
    </row>
    <row r="26" spans="1:26" x14ac:dyDescent="0.2">
      <c r="C26">
        <f t="shared" si="0"/>
        <v>26</v>
      </c>
      <c r="F26" s="14" t="str">
        <f>""</f>
        <v/>
      </c>
      <c r="G26" s="14"/>
      <c r="H26" s="14"/>
      <c r="I26" s="16"/>
      <c r="J26" s="16">
        <f>Uitkeringen!$E$16</f>
        <v>9942.0999999999985</v>
      </c>
      <c r="K26" s="16">
        <f>70%*MIN(Max_SV,Hiaatloon1)-J26</f>
        <v>18057.900000000001</v>
      </c>
      <c r="L26" s="16">
        <f>L25</f>
        <v>0</v>
      </c>
      <c r="N26" s="14"/>
      <c r="O26" s="14"/>
      <c r="P26" s="16">
        <f>P25</f>
        <v>10000</v>
      </c>
      <c r="Q26" s="16">
        <f>Uitkeringen!$E$33</f>
        <v>14000</v>
      </c>
      <c r="R26" s="16">
        <f>MAX(0,(70%*(MIN(Max_SV,Hiaatloon1)-P26)-Q26))+(5%*MIN(Max_SV,Hiaatloon1))</f>
        <v>9000</v>
      </c>
      <c r="S26" s="16">
        <f>S25</f>
        <v>0</v>
      </c>
      <c r="U26" s="14"/>
      <c r="V26" s="14"/>
      <c r="W26" s="16"/>
      <c r="X26" s="16">
        <f>Uitkeringen!$E$50</f>
        <v>28000</v>
      </c>
      <c r="Y26" s="16"/>
      <c r="Z26" s="16">
        <f>Z25</f>
        <v>0</v>
      </c>
    </row>
    <row r="27" spans="1:26" x14ac:dyDescent="0.2">
      <c r="C27">
        <f t="shared" si="0"/>
        <v>27</v>
      </c>
      <c r="F27" s="14" t="str">
        <f>""</f>
        <v/>
      </c>
      <c r="G27" s="14"/>
      <c r="H27" s="14"/>
      <c r="I27" s="16"/>
      <c r="J27" s="16">
        <f t="shared" ref="J27:L27" si="4">J26</f>
        <v>9942.0999999999985</v>
      </c>
      <c r="K27" s="16">
        <f t="shared" si="4"/>
        <v>18057.900000000001</v>
      </c>
      <c r="L27" s="16">
        <f t="shared" si="4"/>
        <v>0</v>
      </c>
      <c r="N27" s="14"/>
      <c r="O27" s="14"/>
      <c r="P27" s="16">
        <f>P26</f>
        <v>10000</v>
      </c>
      <c r="Q27" s="16">
        <f t="shared" ref="Q27:R27" si="5">Q26</f>
        <v>14000</v>
      </c>
      <c r="R27" s="16">
        <f t="shared" si="5"/>
        <v>9000</v>
      </c>
      <c r="S27" s="16">
        <f>S26</f>
        <v>0</v>
      </c>
      <c r="U27" s="14"/>
      <c r="V27" s="14"/>
      <c r="W27" s="16"/>
      <c r="X27" s="16">
        <f>X26</f>
        <v>28000</v>
      </c>
      <c r="Y27" s="16"/>
      <c r="Z27" s="16">
        <f>Z26</f>
        <v>0</v>
      </c>
    </row>
    <row r="28" spans="1:26" x14ac:dyDescent="0.2">
      <c r="C28">
        <f t="shared" si="0"/>
        <v>28</v>
      </c>
      <c r="F28" s="14" t="str">
        <f>""</f>
        <v/>
      </c>
      <c r="G28" s="14"/>
      <c r="H28" s="14"/>
      <c r="I28" s="16"/>
      <c r="J28" s="16">
        <f t="shared" ref="J28:L28" si="6">J27</f>
        <v>9942.0999999999985</v>
      </c>
      <c r="K28" s="16">
        <f t="shared" si="6"/>
        <v>18057.900000000001</v>
      </c>
      <c r="L28" s="16">
        <f t="shared" si="6"/>
        <v>0</v>
      </c>
      <c r="N28" s="14"/>
      <c r="O28" s="14"/>
      <c r="P28" s="16">
        <f>P27</f>
        <v>10000</v>
      </c>
      <c r="Q28" s="16">
        <f t="shared" ref="Q28:R28" si="7">Q27</f>
        <v>14000</v>
      </c>
      <c r="R28" s="16">
        <f t="shared" si="7"/>
        <v>9000</v>
      </c>
      <c r="S28" s="16">
        <f>S27</f>
        <v>0</v>
      </c>
      <c r="U28" s="14"/>
      <c r="V28" s="14"/>
      <c r="W28" s="16"/>
      <c r="X28" s="16">
        <f>X27</f>
        <v>28000</v>
      </c>
      <c r="Y28" s="16"/>
      <c r="Z28" s="16">
        <f>Z27</f>
        <v>0</v>
      </c>
    </row>
    <row r="29" spans="1:26" x14ac:dyDescent="0.2">
      <c r="C29">
        <f t="shared" si="0"/>
        <v>29</v>
      </c>
      <c r="F29" s="14" t="str">
        <f>IF('AOW datum'!D4&lt;=70,"",IF('AOW datum'!D4=71,"tot AOW leeftijd indien &gt;70 jaar","tot AOW leeftijd"))</f>
        <v>tot AOW leeftijd indien &gt;70 jaar</v>
      </c>
      <c r="G29" s="14"/>
      <c r="H29" s="14"/>
      <c r="I29" s="16"/>
      <c r="J29" s="16">
        <f t="shared" ref="J29" si="8">J28</f>
        <v>9942.0999999999985</v>
      </c>
      <c r="K29" s="16">
        <f>IF($F$29="",K28,0)</f>
        <v>0</v>
      </c>
      <c r="L29" s="16">
        <f>IF($F$29="",L28,0)</f>
        <v>0</v>
      </c>
      <c r="N29" s="14"/>
      <c r="O29" s="14"/>
      <c r="P29" s="16">
        <f>P28</f>
        <v>10000</v>
      </c>
      <c r="Q29" s="16">
        <f t="shared" ref="Q29" si="9">Q28</f>
        <v>14000</v>
      </c>
      <c r="R29" s="16">
        <f>IF($F$29="",R28,0)</f>
        <v>0</v>
      </c>
      <c r="S29" s="16">
        <f>IF($F$29="",S28,0)</f>
        <v>0</v>
      </c>
      <c r="U29" s="14"/>
      <c r="V29" s="14"/>
      <c r="W29" s="16"/>
      <c r="X29" s="16">
        <f>X28</f>
        <v>28000</v>
      </c>
      <c r="Y29" s="16">
        <f>IF($F$29="",Y28,0)</f>
        <v>0</v>
      </c>
      <c r="Z29" s="16">
        <f>IF($F$29="",Z28,0)</f>
        <v>0</v>
      </c>
    </row>
    <row r="30" spans="1:26" x14ac:dyDescent="0.2">
      <c r="A30">
        <v>4</v>
      </c>
      <c r="B30" t="s">
        <v>79</v>
      </c>
      <c r="C30">
        <f t="shared" si="0"/>
        <v>30</v>
      </c>
      <c r="D30">
        <f>100%*(0.37%*MIN(Max_SV,Hiaatloon2))</f>
        <v>280.6968</v>
      </c>
      <c r="E30" t="str">
        <f>IF(Inkomen=0,"","De aanvullende verzekeringen van "&amp;B30&amp;" vullen je inkomen aan tot "&amp;TEXT(SUM(I35:L35)/G31,"##%")&amp;" van je oude loon. Zonder deze verzekering kom je uit op "&amp;TEXT(SUM(I35:J35)/G31,"##%")&amp;" van je oude loon")</f>
        <v>De aanvullende verzekeringen van Westenburg vullen je inkomen aan tot 133% van je oude loon. Zonder deze verzekering kom je uit op 25% van je oude loon</v>
      </c>
      <c r="F30" s="14" t="s">
        <v>37</v>
      </c>
      <c r="G30" s="14" t="s">
        <v>23</v>
      </c>
      <c r="H30" s="14"/>
      <c r="I30" s="14" t="s">
        <v>10</v>
      </c>
      <c r="J30" s="14" t="s">
        <v>118</v>
      </c>
      <c r="K30" s="14" t="s">
        <v>119</v>
      </c>
      <c r="L30" s="14" t="s">
        <v>84</v>
      </c>
      <c r="N30" s="14" t="str">
        <f>G30</f>
        <v>Loondoorbetaling bij ziekte</v>
      </c>
      <c r="O30" s="14"/>
      <c r="P30" s="14" t="str">
        <f>I30</f>
        <v>Nieuw loon</v>
      </c>
      <c r="Q30" s="14" t="str">
        <f>J30</f>
        <v>WGA uitkering (WIA index)</v>
      </c>
      <c r="R30" s="14" t="str">
        <f>K30</f>
        <v>WGA Hiaat Uitgebreid (WIA index)</v>
      </c>
      <c r="S30" s="14" t="str">
        <f>L30</f>
        <v xml:space="preserve">WIA Excedent </v>
      </c>
      <c r="U30" s="14" t="str">
        <f>N30</f>
        <v>Loondoorbetaling bij ziekte</v>
      </c>
      <c r="V30" s="14"/>
      <c r="W30" s="14" t="str">
        <f>P30</f>
        <v>Nieuw loon</v>
      </c>
      <c r="X30" s="14" t="str">
        <f>Q30</f>
        <v>WGA uitkering (WIA index)</v>
      </c>
      <c r="Y30" s="14" t="str">
        <f>R30</f>
        <v>WGA Hiaat Uitgebreid (WIA index)</v>
      </c>
      <c r="Z30" s="14" t="str">
        <f>S30</f>
        <v xml:space="preserve">WIA Excedent </v>
      </c>
    </row>
    <row r="31" spans="1:26" x14ac:dyDescent="0.2">
      <c r="C31">
        <f t="shared" si="0"/>
        <v>31</v>
      </c>
      <c r="D31">
        <f>50%*(3.668%*Excedent2)</f>
        <v>0</v>
      </c>
      <c r="E31" t="e">
        <f>IF(Inkomen=0,"","De aanvullende verzekeringen van "&amp;B30&amp;" vullen je inkomen aan tot "&amp;TEXT(SUM(P35:S35)/G31,"##%")&amp;" van je oude loon. Zonder deze verzekering kom je uit op "&amp;TEXT(SUM(P35:Q35)/G31,"##%")&amp;" van je oude loon")</f>
        <v>#DIV/0!</v>
      </c>
      <c r="F31" s="15" t="s">
        <v>19</v>
      </c>
      <c r="G31" s="16">
        <f>100%*Inkomen</f>
        <v>40000</v>
      </c>
      <c r="H31" s="16"/>
      <c r="I31" s="14"/>
      <c r="J31" s="14"/>
      <c r="K31" s="14"/>
      <c r="L31" s="14"/>
      <c r="N31" s="16">
        <f>100%*Inkomen</f>
        <v>40000</v>
      </c>
      <c r="O31" s="16"/>
      <c r="P31" s="14"/>
      <c r="Q31" s="14"/>
      <c r="R31" s="14"/>
      <c r="S31" s="14"/>
      <c r="U31" s="16">
        <f>100%*Inkomen</f>
        <v>40000</v>
      </c>
      <c r="V31" s="16"/>
      <c r="W31" s="14"/>
      <c r="X31" s="14"/>
      <c r="Y31" s="14"/>
      <c r="Z31" s="14"/>
    </row>
    <row r="32" spans="1:26" x14ac:dyDescent="0.2">
      <c r="C32">
        <f t="shared" si="0"/>
        <v>32</v>
      </c>
      <c r="D32">
        <f>SUM(D30:D31)</f>
        <v>280.6968</v>
      </c>
      <c r="E32" t="e">
        <f>IF(Inkomen=0,"","De aanvullende verzekeringen van "&amp;B30&amp;" vullen je inkomen aan tot "&amp;TEXT(SUM(W35:Z35)/G31,"##%")&amp;" van je oude loon. Zonder deze verzekering kom je uit op "&amp;TEXT(SUM(W35:X35)/G31,"##%")&amp;" van je oude loon")</f>
        <v>#DIV/0!</v>
      </c>
      <c r="F32" s="15" t="s">
        <v>20</v>
      </c>
      <c r="G32" s="16">
        <f>70%*Inkomen</f>
        <v>28000</v>
      </c>
      <c r="H32" s="16"/>
      <c r="I32" s="14"/>
      <c r="J32" s="14"/>
      <c r="K32" s="14"/>
      <c r="L32" s="14"/>
      <c r="N32" s="16">
        <f>70%*Inkomen</f>
        <v>28000</v>
      </c>
      <c r="O32" s="16"/>
      <c r="P32" s="14"/>
      <c r="Q32" s="14"/>
      <c r="R32" s="14"/>
      <c r="S32" s="14"/>
      <c r="U32" s="16">
        <f>70%*Inkomen</f>
        <v>28000</v>
      </c>
      <c r="V32" s="16"/>
      <c r="W32" s="14"/>
      <c r="X32" s="14"/>
      <c r="Y32" s="14"/>
      <c r="Z32" s="14"/>
    </row>
    <row r="33" spans="1:33" ht="25.5" x14ac:dyDescent="0.2">
      <c r="C33">
        <f t="shared" si="0"/>
        <v>33</v>
      </c>
      <c r="F33" s="15" t="s">
        <v>83</v>
      </c>
      <c r="G33" s="14"/>
      <c r="H33" s="14"/>
      <c r="I33" s="16"/>
      <c r="J33" s="16">
        <f>Uitkeringen!$D$16</f>
        <v>28000</v>
      </c>
      <c r="K33" s="16">
        <f>70%*MIN(Max_SV,Hiaatloon2)-database!J33</f>
        <v>25104.799999999996</v>
      </c>
      <c r="L33" s="16">
        <f>Excedent2*50%</f>
        <v>0</v>
      </c>
      <c r="N33" s="14"/>
      <c r="O33" s="14"/>
      <c r="P33" s="16">
        <f>ROUNDUP(50%*(1-0.5)*Inkomen,-2)</f>
        <v>10000</v>
      </c>
      <c r="Q33" s="16">
        <f>Uitkeringen!$D$33</f>
        <v>21000</v>
      </c>
      <c r="R33" s="16" t="e">
        <f>75%*(MIN(Max_SV,Hiaatloon2)-P33*MIN(1,Max_SV/Hiaatloon2))-Q33</f>
        <v>#DIV/0!</v>
      </c>
      <c r="S33" s="16">
        <f>Excedent2*50%</f>
        <v>0</v>
      </c>
      <c r="U33" s="14"/>
      <c r="V33" s="14"/>
      <c r="W33" s="16"/>
      <c r="X33" s="16">
        <f>Uitkeringen!$D$50</f>
        <v>28000</v>
      </c>
      <c r="Y33" s="16" t="e">
        <f t="shared" ref="Y33:Y38" si="10">75%*(MIN(Max_SV,Hiaatloon2)-W33*MIN(1,Max_SV/Hiaatloon2))-X33</f>
        <v>#DIV/0!</v>
      </c>
      <c r="Z33" s="16">
        <f>Excedent2*100%</f>
        <v>0</v>
      </c>
    </row>
    <row r="34" spans="1:33" ht="25.5" x14ac:dyDescent="0.2">
      <c r="C34">
        <f t="shared" si="0"/>
        <v>34</v>
      </c>
      <c r="F34" s="15" t="str">
        <f>IF('AOW datum'!D4&lt;=68,"tot AOW (max 68jr)","tot max. leeftijd 68")</f>
        <v>tot max. leeftijd 68</v>
      </c>
      <c r="G34" s="14"/>
      <c r="H34" s="14"/>
      <c r="I34" s="16"/>
      <c r="J34" s="16">
        <f>Uitkeringen!$E$16</f>
        <v>9942.0999999999985</v>
      </c>
      <c r="K34" s="16">
        <f>70%*MIN(Max_SV,Hiaatloon2)-database!J34</f>
        <v>43162.7</v>
      </c>
      <c r="L34" s="16">
        <f>L33</f>
        <v>0</v>
      </c>
      <c r="N34" s="14"/>
      <c r="O34" s="14"/>
      <c r="P34" s="16">
        <f>P33</f>
        <v>10000</v>
      </c>
      <c r="Q34" s="16">
        <f>Uitkeringen!$E$33</f>
        <v>14000</v>
      </c>
      <c r="R34" s="16" t="e">
        <f>75%*(MIN(Max_SV,Hiaatloon2)-P34*MIN(1,Max_SV/Hiaatloon2))-Q34</f>
        <v>#DIV/0!</v>
      </c>
      <c r="S34" s="16">
        <f>S33</f>
        <v>0</v>
      </c>
      <c r="U34" s="14"/>
      <c r="V34" s="14"/>
      <c r="W34" s="16"/>
      <c r="X34" s="16">
        <f>X33</f>
        <v>28000</v>
      </c>
      <c r="Y34" s="16" t="e">
        <f t="shared" si="10"/>
        <v>#DIV/0!</v>
      </c>
      <c r="Z34" s="16">
        <f>Z33</f>
        <v>0</v>
      </c>
    </row>
    <row r="35" spans="1:33" x14ac:dyDescent="0.2">
      <c r="C35">
        <f t="shared" si="0"/>
        <v>35</v>
      </c>
      <c r="F35" s="14" t="str">
        <f>""</f>
        <v/>
      </c>
      <c r="G35" s="14"/>
      <c r="H35" s="14"/>
      <c r="I35" s="16"/>
      <c r="J35" s="16">
        <f>Uitkeringen!$E$16</f>
        <v>9942.0999999999985</v>
      </c>
      <c r="K35" s="16">
        <f>70%*MIN(Max_SV,Hiaatloon2)-database!J35</f>
        <v>43162.7</v>
      </c>
      <c r="L35" s="16">
        <f>L34</f>
        <v>0</v>
      </c>
      <c r="N35" s="14"/>
      <c r="O35" s="14"/>
      <c r="P35" s="16">
        <f>P34</f>
        <v>10000</v>
      </c>
      <c r="Q35" s="16">
        <f>Uitkeringen!$E$33</f>
        <v>14000</v>
      </c>
      <c r="R35" s="16" t="e">
        <f>75%*(MIN(Max_SV,Hiaatloon2)-P35*MIN(1,Max_SV/Hiaatloon2))-Q35</f>
        <v>#DIV/0!</v>
      </c>
      <c r="S35" s="16">
        <f>S34</f>
        <v>0</v>
      </c>
      <c r="U35" s="14"/>
      <c r="V35" s="14"/>
      <c r="W35" s="16"/>
      <c r="X35" s="16">
        <f>Uitkeringen!$E$50</f>
        <v>28000</v>
      </c>
      <c r="Y35" s="16" t="e">
        <f t="shared" si="10"/>
        <v>#DIV/0!</v>
      </c>
      <c r="Z35" s="16">
        <f>Z34</f>
        <v>0</v>
      </c>
    </row>
    <row r="36" spans="1:33" x14ac:dyDescent="0.2">
      <c r="C36">
        <f t="shared" si="0"/>
        <v>36</v>
      </c>
      <c r="F36" s="14" t="str">
        <f>""</f>
        <v/>
      </c>
      <c r="G36" s="14"/>
      <c r="H36" s="14"/>
      <c r="I36" s="16"/>
      <c r="J36" s="16">
        <f t="shared" ref="J36:L36" si="11">J35</f>
        <v>9942.0999999999985</v>
      </c>
      <c r="K36" s="16">
        <f t="shared" si="11"/>
        <v>43162.7</v>
      </c>
      <c r="L36" s="16">
        <f t="shared" si="11"/>
        <v>0</v>
      </c>
      <c r="N36" s="14"/>
      <c r="O36" s="14"/>
      <c r="P36" s="16">
        <f>P35</f>
        <v>10000</v>
      </c>
      <c r="Q36" s="16">
        <f t="shared" ref="Q36:R36" si="12">Q35</f>
        <v>14000</v>
      </c>
      <c r="R36" s="16" t="e">
        <f t="shared" si="12"/>
        <v>#DIV/0!</v>
      </c>
      <c r="S36" s="16">
        <f>S35</f>
        <v>0</v>
      </c>
      <c r="U36" s="14"/>
      <c r="V36" s="14"/>
      <c r="W36" s="16"/>
      <c r="X36" s="16">
        <f>X35</f>
        <v>28000</v>
      </c>
      <c r="Y36" s="16" t="e">
        <f t="shared" si="10"/>
        <v>#DIV/0!</v>
      </c>
      <c r="Z36" s="16">
        <f>Z35</f>
        <v>0</v>
      </c>
    </row>
    <row r="37" spans="1:33" x14ac:dyDescent="0.2">
      <c r="C37">
        <f t="shared" si="0"/>
        <v>37</v>
      </c>
      <c r="F37" s="14" t="str">
        <f>""</f>
        <v/>
      </c>
      <c r="G37" s="14"/>
      <c r="H37" s="14"/>
      <c r="I37" s="16"/>
      <c r="J37" s="16">
        <f t="shared" ref="J37:L37" si="13">J36</f>
        <v>9942.0999999999985</v>
      </c>
      <c r="K37" s="16">
        <f t="shared" si="13"/>
        <v>43162.7</v>
      </c>
      <c r="L37" s="16">
        <f t="shared" si="13"/>
        <v>0</v>
      </c>
      <c r="N37" s="14"/>
      <c r="O37" s="14"/>
      <c r="P37" s="16">
        <f>P36</f>
        <v>10000</v>
      </c>
      <c r="Q37" s="16">
        <f t="shared" ref="Q37:R37" si="14">Q36</f>
        <v>14000</v>
      </c>
      <c r="R37" s="16" t="e">
        <f t="shared" si="14"/>
        <v>#DIV/0!</v>
      </c>
      <c r="S37" s="16">
        <f>S36</f>
        <v>0</v>
      </c>
      <c r="U37" s="14"/>
      <c r="V37" s="14"/>
      <c r="W37" s="16"/>
      <c r="X37" s="16">
        <f>X36</f>
        <v>28000</v>
      </c>
      <c r="Y37" s="16" t="e">
        <f t="shared" si="10"/>
        <v>#DIV/0!</v>
      </c>
      <c r="Z37" s="16">
        <f>Z36</f>
        <v>0</v>
      </c>
    </row>
    <row r="38" spans="1:33" x14ac:dyDescent="0.2">
      <c r="C38">
        <f t="shared" si="0"/>
        <v>38</v>
      </c>
      <c r="F38" s="14" t="str">
        <f>IF('AOW datum'!D4&lt;=68,"",IF('AOW datum'!D4=71,"tot AOW leeftijd indien &gt;68 jaar","tot AOW leeftijd"))</f>
        <v>tot AOW leeftijd indien &gt;68 jaar</v>
      </c>
      <c r="G38" s="14"/>
      <c r="H38" s="14"/>
      <c r="I38" s="16"/>
      <c r="J38" s="16">
        <f t="shared" ref="J38:K38" si="15">J37</f>
        <v>9942.0999999999985</v>
      </c>
      <c r="K38" s="16">
        <f t="shared" si="15"/>
        <v>43162.7</v>
      </c>
      <c r="L38" s="16">
        <f>IF($F$38="",L37,0)</f>
        <v>0</v>
      </c>
      <c r="N38" s="14"/>
      <c r="O38" s="14"/>
      <c r="P38" s="16">
        <f>P37</f>
        <v>10000</v>
      </c>
      <c r="Q38" s="16">
        <f t="shared" ref="Q38:R38" si="16">Q37</f>
        <v>14000</v>
      </c>
      <c r="R38" s="16" t="e">
        <f t="shared" si="16"/>
        <v>#DIV/0!</v>
      </c>
      <c r="S38" s="16">
        <f>IF($F$38="",S37,0)</f>
        <v>0</v>
      </c>
      <c r="U38" s="14"/>
      <c r="V38" s="14"/>
      <c r="W38" s="16"/>
      <c r="X38" s="16">
        <f>X37</f>
        <v>28000</v>
      </c>
      <c r="Y38" s="16" t="e">
        <f t="shared" si="10"/>
        <v>#DIV/0!</v>
      </c>
      <c r="Z38" s="16">
        <f>IF($F$38="",Z37,0)</f>
        <v>0</v>
      </c>
    </row>
    <row r="39" spans="1:33" x14ac:dyDescent="0.2">
      <c r="A39">
        <v>5</v>
      </c>
      <c r="B39" t="s">
        <v>122</v>
      </c>
      <c r="C39">
        <f t="shared" si="0"/>
        <v>39</v>
      </c>
      <c r="D39">
        <f>100%*(0.396%+0.36%)*MIN(Max_SV,Hiaatloon1)</f>
        <v>302.39999999999998</v>
      </c>
      <c r="E39" t="str">
        <f>IF(Inkomen=0,"","De aanvullende verzekeringen van "&amp;B39&amp;" vullen je inkomen aan tot "&amp;TEXT(SUM(I44:L44)/G40,"##%")&amp;" van je oude loon. Zonder deze verzekering kom je uit op "&amp;TEXT(SUM(I44:J44)/G40,"##%")&amp;" van je oude loon")</f>
        <v>De aanvullende verzekeringen van Renewi vullen je inkomen aan tot 70% van je oude loon. Zonder deze verzekering kom je uit op 25% van je oude loon</v>
      </c>
      <c r="F39" s="14" t="s">
        <v>37</v>
      </c>
      <c r="G39" s="14" t="s">
        <v>23</v>
      </c>
      <c r="H39" s="14" t="s">
        <v>144</v>
      </c>
      <c r="I39" s="14" t="s">
        <v>10</v>
      </c>
      <c r="J39" s="14" t="s">
        <v>16</v>
      </c>
      <c r="K39" s="14" t="s">
        <v>59</v>
      </c>
      <c r="L39" s="14" t="str">
        <f>IF(Excedent1&gt;0,"WIA Excedent","")</f>
        <v/>
      </c>
      <c r="N39" s="14" t="str">
        <f t="shared" ref="N39:S39" si="17">G39</f>
        <v>Loondoorbetaling bij ziekte</v>
      </c>
      <c r="O39" s="14" t="str">
        <f t="shared" si="17"/>
        <v>CAO-aanvulling*</v>
      </c>
      <c r="P39" s="14" t="str">
        <f t="shared" si="17"/>
        <v>Nieuw loon</v>
      </c>
      <c r="Q39" s="14" t="str">
        <f t="shared" si="17"/>
        <v>WGA uitkering</v>
      </c>
      <c r="R39" s="14" t="str">
        <f t="shared" si="17"/>
        <v>WGA Hiaat Uitgebreid</v>
      </c>
      <c r="S39" s="14" t="str">
        <f t="shared" si="17"/>
        <v/>
      </c>
      <c r="U39" s="14" t="str">
        <f t="shared" ref="U39:Z39" si="18">N39</f>
        <v>Loondoorbetaling bij ziekte</v>
      </c>
      <c r="V39" s="14" t="str">
        <f t="shared" si="18"/>
        <v>CAO-aanvulling*</v>
      </c>
      <c r="W39" s="14" t="str">
        <f t="shared" si="18"/>
        <v>Nieuw loon</v>
      </c>
      <c r="X39" s="14" t="str">
        <f t="shared" si="18"/>
        <v>WGA uitkering</v>
      </c>
      <c r="Y39" s="14" t="str">
        <f t="shared" si="18"/>
        <v>WGA Hiaat Uitgebreid</v>
      </c>
      <c r="Z39" s="14" t="str">
        <f t="shared" si="18"/>
        <v/>
      </c>
      <c r="AB39" s="14" t="str">
        <f>U39</f>
        <v>Loondoorbetaling bij ziekte</v>
      </c>
      <c r="AC39" s="14" t="str">
        <f>V39</f>
        <v>CAO-aanvulling*</v>
      </c>
      <c r="AD39" s="14" t="str">
        <f>W39</f>
        <v>Nieuw loon</v>
      </c>
      <c r="AE39" s="14" t="str">
        <f>X39</f>
        <v>WGA uitkering</v>
      </c>
      <c r="AF39" s="14" t="s">
        <v>126</v>
      </c>
      <c r="AG39" s="14"/>
    </row>
    <row r="40" spans="1:33" x14ac:dyDescent="0.2">
      <c r="C40">
        <f t="shared" si="0"/>
        <v>40</v>
      </c>
      <c r="D40">
        <f>0%*(2.64%*Excedent1)</f>
        <v>0</v>
      </c>
      <c r="E40" t="str">
        <f>IF(Inkomen=0,"","De aanvullende verzekeringen van "&amp;B39&amp;" vullen je inkomen aan tot "&amp;TEXT(SUM(P44:S44)/G40,"##%")&amp;" van je oude loon. Zonder deze verzekering kom je uit op "&amp;TEXT(SUM(P44:Q44)/G40,"##%")&amp;" van je oude loon")</f>
        <v>De aanvullende verzekeringen van Renewi vullen je inkomen aan tot 83% van je oude loon. Zonder deze verzekering kom je uit op 60% van je oude loon</v>
      </c>
      <c r="F40" s="15" t="s">
        <v>19</v>
      </c>
      <c r="G40" s="16">
        <f>100%*Inkomen</f>
        <v>40000</v>
      </c>
      <c r="H40" s="16"/>
      <c r="I40" s="14"/>
      <c r="J40" s="14"/>
      <c r="K40" s="14"/>
      <c r="L40" s="14"/>
      <c r="N40" s="16">
        <f>100%*Inkomen</f>
        <v>40000</v>
      </c>
      <c r="O40" s="16"/>
      <c r="P40" s="14"/>
      <c r="Q40" s="14"/>
      <c r="R40" s="14"/>
      <c r="S40" s="14"/>
      <c r="U40" s="16">
        <f>100%*Inkomen</f>
        <v>40000</v>
      </c>
      <c r="V40" s="16"/>
      <c r="W40" s="14"/>
      <c r="X40" s="14"/>
      <c r="Y40" s="14"/>
      <c r="Z40" s="14"/>
      <c r="AA40" s="15" t="s">
        <v>19</v>
      </c>
      <c r="AB40" s="16">
        <f>100%*Inkomen</f>
        <v>40000</v>
      </c>
      <c r="AC40" s="16"/>
      <c r="AD40" s="14"/>
      <c r="AE40" s="14"/>
      <c r="AF40" s="14"/>
      <c r="AG40" s="14"/>
    </row>
    <row r="41" spans="1:33" x14ac:dyDescent="0.2">
      <c r="C41">
        <f t="shared" si="0"/>
        <v>41</v>
      </c>
      <c r="D41">
        <f>SUM(D39:D40)</f>
        <v>302.39999999999998</v>
      </c>
      <c r="E41" t="str">
        <f>IF(Inkomen=0,"",IF(Excedent1&gt;0,"De WIA-Excedentverzekering vult de WIA uitkering aan tot "&amp;TEXT(SUM(W44:Z44)/G40,"##%")&amp;" van je oude loon. Zonder deze verzekering kom je uit op "&amp;TEXT(SUM(W44:X44)/G40,"##%")&amp;" van je oude loon",IF(Y44=0,"In dit geval hoeft de WGA Hiaatverzekering niet uit te keren, omdat je vanuit de WIA al 70% van je oude loon ontvangt.","De aanvullende verzekeringen van "&amp;B39&amp;" vullen je inkomen aan tot "&amp;TEXT(SUM(W44:Z44)/G40,"##%")&amp;" van je oude loon. Zonder deze verzekering kom je uit op "&amp;TEXT(SUM(W44:X44)/G40,"##%")&amp;" van je oude loon")))</f>
        <v>In dit geval hoeft de WGA Hiaatverzekering niet uit te keren, omdat je vanuit de WIA al 70% van je oude loon ontvangt.</v>
      </c>
      <c r="F41" s="15" t="s">
        <v>20</v>
      </c>
      <c r="G41" s="16">
        <f>70%*Inkomen</f>
        <v>28000</v>
      </c>
      <c r="H41" s="16">
        <f>30%*Inkomen</f>
        <v>12000</v>
      </c>
      <c r="I41" s="14"/>
      <c r="J41" s="14"/>
      <c r="K41" s="14"/>
      <c r="L41" s="14"/>
      <c r="N41" s="16">
        <f>70%*Inkomen</f>
        <v>28000</v>
      </c>
      <c r="O41" s="16">
        <f>30%*Inkomen</f>
        <v>12000</v>
      </c>
      <c r="P41" s="14"/>
      <c r="Q41" s="14"/>
      <c r="R41" s="14"/>
      <c r="S41" s="14"/>
      <c r="U41" s="16">
        <f>70%*Inkomen</f>
        <v>28000</v>
      </c>
      <c r="V41" s="16">
        <f>30%*Inkomen</f>
        <v>12000</v>
      </c>
      <c r="W41" s="14"/>
      <c r="X41" s="14"/>
      <c r="Y41" s="14"/>
      <c r="Z41" s="14"/>
      <c r="AA41" s="15" t="s">
        <v>20</v>
      </c>
      <c r="AB41" s="16">
        <f>70%*Inkomen</f>
        <v>28000</v>
      </c>
      <c r="AC41" s="16">
        <f>30%*Inkomen</f>
        <v>12000</v>
      </c>
      <c r="AD41" s="14"/>
      <c r="AE41" s="14"/>
      <c r="AF41" s="14"/>
      <c r="AG41" s="14"/>
    </row>
    <row r="42" spans="1:33" ht="25.5" x14ac:dyDescent="0.2">
      <c r="C42">
        <f t="shared" si="0"/>
        <v>42</v>
      </c>
      <c r="E42" t="str">
        <f>IF(Inkomen=0,"","De aanvullende verzekeringen van "&amp;B39&amp;" vullen je inkomen aan tot "&amp;TEXT(SUM(AB44:AG44)/G40,"##%")&amp;" van je oude loon. Zonder deze verzekering kom je uit op "&amp;TEXT(SUM(AB44:AE44)/G40,"##%")&amp;" van je oude loon")</f>
        <v>De aanvullende verzekeringen van Renewi vullen je inkomen aan tot 63% van je oude loon. Zonder deze verzekering kom je uit op 38% van je oude loon</v>
      </c>
      <c r="F42" s="15" t="s">
        <v>83</v>
      </c>
      <c r="G42" s="14"/>
      <c r="H42" s="14"/>
      <c r="I42" s="16"/>
      <c r="J42" s="16">
        <f>Uitkeringen!$D$16</f>
        <v>28000</v>
      </c>
      <c r="K42" s="16">
        <f>70%*MIN(Max_SV,Hiaatloon1)-database!J42</f>
        <v>0</v>
      </c>
      <c r="L42" s="16">
        <f>Excedent1*50%</f>
        <v>0</v>
      </c>
      <c r="N42" s="14"/>
      <c r="O42" s="14"/>
      <c r="P42" s="16">
        <f>ROUNDUP(50%*(1-0.5)*Inkomen,-2)</f>
        <v>10000</v>
      </c>
      <c r="Q42" s="16">
        <f>Uitkeringen!$D$33</f>
        <v>21000</v>
      </c>
      <c r="R42" s="16">
        <f>75%*(MIN(Max_SV,Hiaatloon1))-(70%*Uitkeringen!D7*Uitkeringen!$E$11)-Q42</f>
        <v>2000</v>
      </c>
      <c r="S42" s="16">
        <f>Excedent1*50%</f>
        <v>0</v>
      </c>
      <c r="U42" s="14"/>
      <c r="V42" s="14"/>
      <c r="W42" s="16"/>
      <c r="X42" s="16">
        <f>Uitkeringen!$D$50</f>
        <v>28000</v>
      </c>
      <c r="Y42" s="16">
        <v>0</v>
      </c>
      <c r="Z42" s="16">
        <f>Excedent1*100%</f>
        <v>0</v>
      </c>
      <c r="AA42" s="15" t="s">
        <v>128</v>
      </c>
      <c r="AB42" s="14"/>
      <c r="AC42" s="14"/>
      <c r="AD42" s="16">
        <f>Uitkeringen!G11</f>
        <v>15000</v>
      </c>
      <c r="AE42" s="16">
        <v>0</v>
      </c>
      <c r="AF42" s="16">
        <f>25%*(MIN(Max_SV,Hiaatloon1))</f>
        <v>10000</v>
      </c>
      <c r="AG42" s="16"/>
    </row>
    <row r="43" spans="1:33" ht="25.5" x14ac:dyDescent="0.2">
      <c r="C43">
        <f t="shared" si="0"/>
        <v>43</v>
      </c>
      <c r="F43" s="15" t="s">
        <v>22</v>
      </c>
      <c r="G43" s="14"/>
      <c r="H43" s="14"/>
      <c r="I43" s="16"/>
      <c r="J43" s="16">
        <f>Uitkeringen!$E$16</f>
        <v>9942.0999999999985</v>
      </c>
      <c r="K43" s="16">
        <f>70%*MIN(Max_SV,Hiaatloon1)-database!J43</f>
        <v>18057.900000000001</v>
      </c>
      <c r="L43" s="16">
        <f>L42</f>
        <v>0</v>
      </c>
      <c r="N43" s="14"/>
      <c r="O43" s="14"/>
      <c r="P43" s="16">
        <f>P42</f>
        <v>10000</v>
      </c>
      <c r="Q43" s="16">
        <f>Uitkeringen!$E$33</f>
        <v>14000</v>
      </c>
      <c r="R43" s="16">
        <f>75%*(MIN(Max_SV,Hiaatloon1))-(70%*Uitkeringen!D7*Uitkeringen!$E$11)-Q43</f>
        <v>9000</v>
      </c>
      <c r="S43" s="16">
        <f>S42</f>
        <v>0</v>
      </c>
      <c r="U43" s="14"/>
      <c r="V43" s="14"/>
      <c r="W43" s="16"/>
      <c r="X43" s="16">
        <f>X42</f>
        <v>28000</v>
      </c>
      <c r="Y43" s="16">
        <v>0</v>
      </c>
      <c r="Z43" s="16">
        <f>Z42</f>
        <v>0</v>
      </c>
      <c r="AA43" t="str">
        <f>""</f>
        <v/>
      </c>
      <c r="AB43" s="14"/>
      <c r="AC43" s="14"/>
      <c r="AD43" s="16">
        <f>AD42</f>
        <v>15000</v>
      </c>
      <c r="AE43" s="16">
        <f>AE42</f>
        <v>0</v>
      </c>
      <c r="AF43" s="16">
        <f>25%*(MIN(Max_SV,Hiaatloon1))</f>
        <v>10000</v>
      </c>
      <c r="AG43" s="16"/>
    </row>
    <row r="44" spans="1:33" x14ac:dyDescent="0.2">
      <c r="C44">
        <f t="shared" si="0"/>
        <v>44</v>
      </c>
      <c r="F44" s="14" t="str">
        <f>""</f>
        <v/>
      </c>
      <c r="G44" s="14"/>
      <c r="H44" s="14"/>
      <c r="I44" s="16"/>
      <c r="J44" s="16">
        <f>Uitkeringen!$E$16</f>
        <v>9942.0999999999985</v>
      </c>
      <c r="K44" s="16">
        <f>70%*MIN(Max_SV,Hiaatloon1)-database!J44</f>
        <v>18057.900000000001</v>
      </c>
      <c r="L44" s="16">
        <f>L43</f>
        <v>0</v>
      </c>
      <c r="N44" s="14"/>
      <c r="O44" s="14"/>
      <c r="P44" s="16">
        <f>P43</f>
        <v>10000</v>
      </c>
      <c r="Q44" s="16">
        <f>Uitkeringen!$E$33</f>
        <v>14000</v>
      </c>
      <c r="R44" s="16">
        <f>R43</f>
        <v>9000</v>
      </c>
      <c r="S44" s="16">
        <f>S43</f>
        <v>0</v>
      </c>
      <c r="U44" s="14"/>
      <c r="V44" s="14"/>
      <c r="W44" s="16"/>
      <c r="X44" s="16">
        <f>Uitkeringen!$E$50</f>
        <v>28000</v>
      </c>
      <c r="Y44" s="16">
        <v>0</v>
      </c>
      <c r="Z44" s="16">
        <f>Z43</f>
        <v>0</v>
      </c>
      <c r="AA44" t="str">
        <f>""</f>
        <v/>
      </c>
      <c r="AB44" s="14"/>
      <c r="AC44" s="14"/>
      <c r="AD44" s="16">
        <f>AD43</f>
        <v>15000</v>
      </c>
      <c r="AE44" s="16">
        <v>0</v>
      </c>
      <c r="AF44" s="16">
        <f>25%*(MIN(Max_SV,Hiaatloon1))</f>
        <v>10000</v>
      </c>
      <c r="AG44" s="16"/>
    </row>
    <row r="45" spans="1:33" x14ac:dyDescent="0.2">
      <c r="C45">
        <f t="shared" si="0"/>
        <v>45</v>
      </c>
      <c r="F45" s="14" t="str">
        <f>""</f>
        <v/>
      </c>
      <c r="G45" s="14"/>
      <c r="H45" s="14"/>
      <c r="I45" s="16"/>
      <c r="J45" s="16">
        <f t="shared" ref="J45:L45" si="19">J44</f>
        <v>9942.0999999999985</v>
      </c>
      <c r="K45" s="16">
        <f>70%*MIN(Max_SV,Hiaatloon1)-database!J45</f>
        <v>18057.900000000001</v>
      </c>
      <c r="L45" s="16">
        <f t="shared" si="19"/>
        <v>0</v>
      </c>
      <c r="N45" s="14"/>
      <c r="O45" s="14"/>
      <c r="P45" s="16">
        <f>P44</f>
        <v>10000</v>
      </c>
      <c r="Q45" s="16">
        <f t="shared" ref="Q45:R45" si="20">Q44</f>
        <v>14000</v>
      </c>
      <c r="R45" s="16">
        <f t="shared" si="20"/>
        <v>9000</v>
      </c>
      <c r="S45" s="16">
        <f>S44</f>
        <v>0</v>
      </c>
      <c r="U45" s="14"/>
      <c r="V45" s="14"/>
      <c r="W45" s="16"/>
      <c r="X45" s="16">
        <f>X44</f>
        <v>28000</v>
      </c>
      <c r="Y45" s="16">
        <v>0</v>
      </c>
      <c r="Z45" s="16">
        <f>Z44</f>
        <v>0</v>
      </c>
      <c r="AA45" t="str">
        <f>""</f>
        <v/>
      </c>
      <c r="AB45" s="14"/>
      <c r="AC45" s="14"/>
      <c r="AD45" s="16">
        <f>AD44</f>
        <v>15000</v>
      </c>
      <c r="AE45" s="16">
        <f>AE44</f>
        <v>0</v>
      </c>
      <c r="AF45" s="16">
        <f>25%*(MIN(Max_SV,Hiaatloon1))</f>
        <v>10000</v>
      </c>
      <c r="AG45" s="16"/>
    </row>
    <row r="46" spans="1:33" x14ac:dyDescent="0.2">
      <c r="C46">
        <f t="shared" si="0"/>
        <v>46</v>
      </c>
      <c r="F46" s="14" t="str">
        <f>""</f>
        <v/>
      </c>
      <c r="G46" s="14"/>
      <c r="H46" s="14"/>
      <c r="I46" s="16"/>
      <c r="J46" s="16">
        <f t="shared" ref="J46:L46" si="21">J45</f>
        <v>9942.0999999999985</v>
      </c>
      <c r="K46" s="16">
        <f t="shared" si="21"/>
        <v>18057.900000000001</v>
      </c>
      <c r="L46" s="16">
        <f t="shared" si="21"/>
        <v>0</v>
      </c>
      <c r="N46" s="14"/>
      <c r="O46" s="14"/>
      <c r="P46" s="16">
        <f>P45</f>
        <v>10000</v>
      </c>
      <c r="Q46" s="16">
        <f t="shared" ref="Q46:R46" si="22">Q45</f>
        <v>14000</v>
      </c>
      <c r="R46" s="16">
        <f t="shared" si="22"/>
        <v>9000</v>
      </c>
      <c r="S46" s="16">
        <f>S45</f>
        <v>0</v>
      </c>
      <c r="U46" s="14"/>
      <c r="V46" s="14"/>
      <c r="W46" s="16"/>
      <c r="X46" s="16">
        <f>X45</f>
        <v>28000</v>
      </c>
      <c r="Y46" s="16">
        <v>0</v>
      </c>
      <c r="Z46" s="16">
        <f>Z45</f>
        <v>0</v>
      </c>
      <c r="AA46" s="97" t="s">
        <v>127</v>
      </c>
      <c r="AB46" s="14"/>
      <c r="AC46" s="14"/>
      <c r="AD46" s="16">
        <f>AD45</f>
        <v>15000</v>
      </c>
      <c r="AE46" s="16">
        <f>AE45</f>
        <v>0</v>
      </c>
      <c r="AF46" s="16">
        <v>0</v>
      </c>
      <c r="AG46" s="16"/>
    </row>
    <row r="47" spans="1:33" x14ac:dyDescent="0.2">
      <c r="C47">
        <f t="shared" si="0"/>
        <v>47</v>
      </c>
      <c r="F47" s="14" t="str">
        <f>""</f>
        <v/>
      </c>
      <c r="G47" s="14"/>
      <c r="H47" s="14"/>
      <c r="I47" s="16"/>
      <c r="J47" s="16">
        <f t="shared" ref="J47:K47" si="23">J46</f>
        <v>9942.0999999999985</v>
      </c>
      <c r="K47" s="16">
        <f t="shared" si="23"/>
        <v>18057.900000000001</v>
      </c>
      <c r="L47" s="16">
        <f>IF(F47="",L46,0)</f>
        <v>0</v>
      </c>
      <c r="N47" s="14"/>
      <c r="O47" s="14"/>
      <c r="P47" s="16">
        <f>P46</f>
        <v>10000</v>
      </c>
      <c r="Q47" s="16">
        <f t="shared" ref="Q47:R47" si="24">Q46</f>
        <v>14000</v>
      </c>
      <c r="R47" s="16">
        <f t="shared" si="24"/>
        <v>9000</v>
      </c>
      <c r="S47" s="16">
        <f>IF($F$47="",S46,0)</f>
        <v>0</v>
      </c>
      <c r="U47" s="14"/>
      <c r="V47" s="14"/>
      <c r="W47" s="16"/>
      <c r="X47" s="16">
        <f>X46</f>
        <v>28000</v>
      </c>
      <c r="Y47" s="16">
        <v>0</v>
      </c>
      <c r="Z47" s="16">
        <f>IF($F$47="",Z46,0)</f>
        <v>0</v>
      </c>
      <c r="AA47" t="str">
        <f>""</f>
        <v/>
      </c>
      <c r="AB47" s="14"/>
      <c r="AC47" s="14"/>
      <c r="AD47" s="16">
        <f>AD46</f>
        <v>15000</v>
      </c>
      <c r="AE47" s="16">
        <f>AE46</f>
        <v>0</v>
      </c>
      <c r="AF47" s="16">
        <v>0</v>
      </c>
      <c r="AG47" s="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81F54-9D02-4993-8325-73443FAC8E12}">
  <sheetPr codeName="Blad5"/>
  <dimension ref="A1:H145"/>
  <sheetViews>
    <sheetView topLeftCell="A3" workbookViewId="0">
      <selection activeCell="H11" sqref="H11"/>
    </sheetView>
  </sheetViews>
  <sheetFormatPr defaultColWidth="48.5703125" defaultRowHeight="12.75" x14ac:dyDescent="0.2"/>
  <cols>
    <col min="1" max="1" width="15" bestFit="1" customWidth="1"/>
    <col min="2" max="2" width="11.85546875" customWidth="1"/>
    <col min="3" max="3" width="15.7109375" bestFit="1" customWidth="1"/>
    <col min="4" max="4" width="38.5703125" customWidth="1"/>
    <col min="5" max="5" width="12.140625" bestFit="1" customWidth="1"/>
    <col min="6" max="6" width="54.42578125" customWidth="1"/>
    <col min="7" max="7" width="10.140625" bestFit="1" customWidth="1"/>
  </cols>
  <sheetData>
    <row r="1" spans="1:8" ht="13.5" thickBot="1" x14ac:dyDescent="0.25">
      <c r="A1" s="36"/>
      <c r="B1" s="36"/>
      <c r="C1" s="36"/>
      <c r="D1" s="36"/>
      <c r="E1" s="36"/>
      <c r="F1" s="36"/>
      <c r="G1" s="36"/>
      <c r="H1" s="36" t="s">
        <v>86</v>
      </c>
    </row>
    <row r="2" spans="1:8" ht="13.5" thickBot="1" x14ac:dyDescent="0.25">
      <c r="A2" s="38" t="s">
        <v>87</v>
      </c>
      <c r="B2" s="36"/>
      <c r="C2" s="39" t="s">
        <v>88</v>
      </c>
      <c r="D2" s="40" t="s">
        <v>89</v>
      </c>
      <c r="E2" s="36"/>
      <c r="F2" s="41"/>
      <c r="G2" s="36"/>
      <c r="H2" s="41">
        <v>45295</v>
      </c>
    </row>
    <row r="3" spans="1:8" ht="13.5" thickBot="1" x14ac:dyDescent="0.25">
      <c r="A3" s="42">
        <f>'WIA Aanvullingen'!N37</f>
        <v>0</v>
      </c>
      <c r="B3" s="36"/>
      <c r="C3" s="43" t="e">
        <f>EDATE(A3,VLOOKUP(A3,$B$7:$G$83,2,TRUE))</f>
        <v>#N/A</v>
      </c>
      <c r="D3" s="40" t="e">
        <f>VLOOKUP(A3,$B$7:$G$83,3,TRUE)</f>
        <v>#N/A</v>
      </c>
      <c r="E3" s="36" t="s">
        <v>90</v>
      </c>
      <c r="F3" s="36"/>
      <c r="G3" s="36"/>
      <c r="H3" s="36"/>
    </row>
    <row r="4" spans="1:8" ht="21.75" thickBot="1" x14ac:dyDescent="0.4">
      <c r="A4" s="36"/>
      <c r="B4" s="36"/>
      <c r="C4" s="44"/>
      <c r="D4" s="69">
        <f>IFERROR(VLOOKUP(A3,$B$7:$G$83,2,TRUE)/12,71)</f>
        <v>71</v>
      </c>
      <c r="E4" s="36"/>
      <c r="F4" s="36"/>
      <c r="G4" s="36"/>
      <c r="H4" s="36"/>
    </row>
    <row r="5" spans="1:8" x14ac:dyDescent="0.2">
      <c r="A5" s="36"/>
      <c r="B5" s="36"/>
      <c r="C5" s="36"/>
      <c r="D5" s="36"/>
      <c r="E5" s="36"/>
      <c r="F5" s="36"/>
      <c r="G5" s="36"/>
      <c r="H5" s="36"/>
    </row>
    <row r="6" spans="1:8" ht="13.5" thickBot="1" x14ac:dyDescent="0.25">
      <c r="A6" s="36" t="s">
        <v>91</v>
      </c>
      <c r="B6" s="36"/>
      <c r="C6" s="36"/>
      <c r="D6" s="36"/>
      <c r="E6" s="36"/>
      <c r="F6" s="36"/>
      <c r="G6" s="36"/>
      <c r="H6" s="36"/>
    </row>
    <row r="7" spans="1:8" ht="26.25" thickBot="1" x14ac:dyDescent="0.25">
      <c r="A7" s="45" t="s">
        <v>92</v>
      </c>
      <c r="B7" s="46" t="s">
        <v>93</v>
      </c>
      <c r="C7" s="46"/>
      <c r="D7" s="46" t="s">
        <v>94</v>
      </c>
      <c r="E7" s="46" t="s">
        <v>95</v>
      </c>
      <c r="F7" s="46" t="s">
        <v>96</v>
      </c>
      <c r="G7" s="47" t="s">
        <v>97</v>
      </c>
      <c r="H7" s="36"/>
    </row>
    <row r="8" spans="1:8" x14ac:dyDescent="0.2">
      <c r="A8" s="48">
        <v>2013</v>
      </c>
      <c r="B8" s="49">
        <v>17533</v>
      </c>
      <c r="C8" s="50">
        <f>65*12+1</f>
        <v>781</v>
      </c>
      <c r="D8" s="50" t="s">
        <v>98</v>
      </c>
      <c r="E8" s="49"/>
      <c r="F8" s="50" t="s">
        <v>99</v>
      </c>
      <c r="G8" s="51" t="s">
        <v>100</v>
      </c>
      <c r="H8" s="36"/>
    </row>
    <row r="9" spans="1:8" x14ac:dyDescent="0.2">
      <c r="A9" s="48">
        <v>2014</v>
      </c>
      <c r="B9" s="49">
        <v>17868</v>
      </c>
      <c r="C9" s="50">
        <f>65*12+2</f>
        <v>782</v>
      </c>
      <c r="D9" s="50" t="s">
        <v>101</v>
      </c>
      <c r="E9" s="49">
        <f t="shared" ref="E9:E72" si="0">EDATE(B9,VLOOKUP(B9-1,$B$7:$C$95,2,TRUE))</f>
        <v>41640</v>
      </c>
      <c r="F9" s="50" t="s">
        <v>102</v>
      </c>
      <c r="G9" s="51" t="s">
        <v>100</v>
      </c>
      <c r="H9" s="36"/>
    </row>
    <row r="10" spans="1:8" x14ac:dyDescent="0.2">
      <c r="A10" s="48">
        <v>2015</v>
      </c>
      <c r="B10" s="49">
        <v>18203</v>
      </c>
      <c r="C10" s="50">
        <f>65*12+3</f>
        <v>783</v>
      </c>
      <c r="D10" s="50" t="s">
        <v>103</v>
      </c>
      <c r="E10" s="49">
        <f t="shared" si="0"/>
        <v>42005</v>
      </c>
      <c r="F10" s="50" t="s">
        <v>104</v>
      </c>
      <c r="G10" s="51" t="s">
        <v>100</v>
      </c>
      <c r="H10" s="36"/>
    </row>
    <row r="11" spans="1:8" x14ac:dyDescent="0.2">
      <c r="A11" s="48">
        <v>2016</v>
      </c>
      <c r="B11" s="49">
        <v>18537</v>
      </c>
      <c r="C11" s="50">
        <f>65*12+6</f>
        <v>786</v>
      </c>
      <c r="D11" s="50" t="s">
        <v>105</v>
      </c>
      <c r="E11" s="49">
        <f t="shared" si="0"/>
        <v>42370</v>
      </c>
      <c r="F11" s="50" t="s">
        <v>106</v>
      </c>
      <c r="G11" s="51" t="s">
        <v>100</v>
      </c>
      <c r="H11" s="36"/>
    </row>
    <row r="12" spans="1:8" x14ac:dyDescent="0.2">
      <c r="A12" s="48">
        <v>2017</v>
      </c>
      <c r="B12" s="49">
        <v>18810</v>
      </c>
      <c r="C12" s="50">
        <f>65*12+9</f>
        <v>789</v>
      </c>
      <c r="D12" s="50" t="s">
        <v>107</v>
      </c>
      <c r="E12" s="49">
        <f t="shared" si="0"/>
        <v>42736</v>
      </c>
      <c r="F12" s="50" t="s">
        <v>108</v>
      </c>
      <c r="G12" s="51" t="s">
        <v>100</v>
      </c>
      <c r="H12" s="36"/>
    </row>
    <row r="13" spans="1:8" x14ac:dyDescent="0.2">
      <c r="A13" s="48">
        <v>2018</v>
      </c>
      <c r="B13" s="49">
        <v>19085</v>
      </c>
      <c r="C13" s="50">
        <f>66*12</f>
        <v>792</v>
      </c>
      <c r="D13" s="50" t="s">
        <v>109</v>
      </c>
      <c r="E13" s="49">
        <f t="shared" si="0"/>
        <v>43101</v>
      </c>
      <c r="F13" s="50" t="s">
        <v>110</v>
      </c>
      <c r="G13" s="51" t="s">
        <v>100</v>
      </c>
      <c r="H13" s="36"/>
    </row>
    <row r="14" spans="1:8" x14ac:dyDescent="0.2">
      <c r="A14" s="48">
        <v>2019</v>
      </c>
      <c r="B14" s="49">
        <v>19360</v>
      </c>
      <c r="C14" s="50">
        <f>66*12+4</f>
        <v>796</v>
      </c>
      <c r="D14" s="50" t="s">
        <v>111</v>
      </c>
      <c r="E14" s="49">
        <f t="shared" si="0"/>
        <v>43466</v>
      </c>
      <c r="F14" s="52" t="str">
        <f t="shared" ref="F14:F83" si="1">"na "&amp;TEXT(B14-1,"dd-mm-jjjj")&amp;" en voor "&amp;TEXT(B15,"dd-mm-jjjj")</f>
        <v>na 31-12-1952 en voor 01-09-1953</v>
      </c>
      <c r="G14" s="51" t="s">
        <v>100</v>
      </c>
      <c r="H14" s="36"/>
    </row>
    <row r="15" spans="1:8" x14ac:dyDescent="0.2">
      <c r="A15" s="48">
        <v>2020</v>
      </c>
      <c r="B15" s="49">
        <v>19603</v>
      </c>
      <c r="C15" s="50">
        <f>66*12+4</f>
        <v>796</v>
      </c>
      <c r="D15" s="50" t="s">
        <v>111</v>
      </c>
      <c r="E15" s="49">
        <f t="shared" si="0"/>
        <v>43831</v>
      </c>
      <c r="F15" s="52" t="str">
        <f t="shared" si="1"/>
        <v>na 31-08-1953 en voor 01-09-1954</v>
      </c>
      <c r="G15" s="51"/>
      <c r="H15" s="36"/>
    </row>
    <row r="16" spans="1:8" x14ac:dyDescent="0.2">
      <c r="A16" s="48">
        <v>2021</v>
      </c>
      <c r="B16" s="49">
        <v>19968</v>
      </c>
      <c r="C16" s="50">
        <f>66*12+4</f>
        <v>796</v>
      </c>
      <c r="D16" s="50" t="s">
        <v>111</v>
      </c>
      <c r="E16" s="49">
        <f t="shared" si="0"/>
        <v>44197</v>
      </c>
      <c r="F16" s="52" t="str">
        <f t="shared" si="1"/>
        <v>na 31-08-1954 en voor 01-09-1955</v>
      </c>
      <c r="G16" s="51"/>
      <c r="H16" s="36"/>
    </row>
    <row r="17" spans="1:8" x14ac:dyDescent="0.2">
      <c r="A17" s="48">
        <v>2022</v>
      </c>
      <c r="B17" s="49">
        <v>20333</v>
      </c>
      <c r="C17" s="50">
        <f>66*12+7</f>
        <v>799</v>
      </c>
      <c r="D17" s="50" t="s">
        <v>112</v>
      </c>
      <c r="E17" s="49">
        <f t="shared" si="0"/>
        <v>44562</v>
      </c>
      <c r="F17" s="52" t="str">
        <f t="shared" si="1"/>
        <v>na 31-08-1955 en voor 01-06-1956</v>
      </c>
      <c r="G17" s="51" t="s">
        <v>100</v>
      </c>
      <c r="H17" s="36"/>
    </row>
    <row r="18" spans="1:8" x14ac:dyDescent="0.2">
      <c r="A18" s="48">
        <v>2023</v>
      </c>
      <c r="B18" s="53">
        <v>20607</v>
      </c>
      <c r="C18" s="50">
        <f>66*12+10</f>
        <v>802</v>
      </c>
      <c r="D18" s="50" t="s">
        <v>113</v>
      </c>
      <c r="E18" s="49">
        <f t="shared" si="0"/>
        <v>44927</v>
      </c>
      <c r="F18" s="52" t="str">
        <f t="shared" si="1"/>
        <v>na 31-05-1956 en voor 01-03-1957</v>
      </c>
      <c r="G18" s="51" t="s">
        <v>100</v>
      </c>
      <c r="H18" s="36"/>
    </row>
    <row r="19" spans="1:8" x14ac:dyDescent="0.2">
      <c r="A19" s="48">
        <v>2024</v>
      </c>
      <c r="B19" s="53">
        <v>20880</v>
      </c>
      <c r="C19" s="50">
        <f>67*12</f>
        <v>804</v>
      </c>
      <c r="D19" s="50" t="s">
        <v>114</v>
      </c>
      <c r="E19" s="49">
        <f t="shared" si="0"/>
        <v>45292</v>
      </c>
      <c r="F19" s="52" t="str">
        <f t="shared" si="1"/>
        <v>na 28-02-1957 en voor 01-01-1958</v>
      </c>
      <c r="G19" s="51" t="s">
        <v>100</v>
      </c>
      <c r="H19" s="36"/>
    </row>
    <row r="20" spans="1:8" x14ac:dyDescent="0.2">
      <c r="A20" s="48">
        <v>2025</v>
      </c>
      <c r="B20" s="53">
        <f>IF(G19="ja",EDATE(B19,10),EDATE(B19,12))</f>
        <v>21186</v>
      </c>
      <c r="C20" s="52">
        <f t="shared" ref="C20:C82" si="2">IF(G20="ja",C19+3,C19)</f>
        <v>804</v>
      </c>
      <c r="D20" s="50" t="s">
        <v>114</v>
      </c>
      <c r="E20" s="49">
        <f t="shared" si="0"/>
        <v>45658</v>
      </c>
      <c r="F20" s="52" t="str">
        <f t="shared" si="1"/>
        <v>na 31-12-1957 en voor 01-01-1959</v>
      </c>
      <c r="G20" s="51"/>
      <c r="H20" s="41"/>
    </row>
    <row r="21" spans="1:8" x14ac:dyDescent="0.2">
      <c r="A21" s="48">
        <v>2026</v>
      </c>
      <c r="B21" s="53">
        <f>IF(G20="ja",EDATE(B20,9),EDATE(B20,12))</f>
        <v>21551</v>
      </c>
      <c r="C21" s="52">
        <f t="shared" si="2"/>
        <v>804</v>
      </c>
      <c r="D21" s="50" t="s">
        <v>114</v>
      </c>
      <c r="E21" s="49">
        <f t="shared" si="0"/>
        <v>46023</v>
      </c>
      <c r="F21" s="52" t="str">
        <f t="shared" si="1"/>
        <v>na 31-12-1958 en voor 01-01-1960</v>
      </c>
      <c r="G21" s="51"/>
      <c r="H21" s="36"/>
    </row>
    <row r="22" spans="1:8" x14ac:dyDescent="0.2">
      <c r="A22" s="48">
        <v>2027</v>
      </c>
      <c r="B22" s="53">
        <f>IF(G21="ja",EDATE(B21,9),EDATE(B21,12))</f>
        <v>21916</v>
      </c>
      <c r="C22" s="52">
        <f t="shared" si="2"/>
        <v>804</v>
      </c>
      <c r="D22" s="50" t="s">
        <v>114</v>
      </c>
      <c r="E22" s="49">
        <f t="shared" si="0"/>
        <v>46388</v>
      </c>
      <c r="F22" s="52" t="str">
        <f t="shared" si="1"/>
        <v>na 31-12-1959 en voor 01-01-1961</v>
      </c>
      <c r="G22" s="51"/>
      <c r="H22" s="36"/>
    </row>
    <row r="23" spans="1:8" x14ac:dyDescent="0.2">
      <c r="A23" s="54">
        <v>2028</v>
      </c>
      <c r="B23" s="55">
        <f t="shared" ref="B23:B83" si="3">IF(G22="ja",EDATE(B22,9),EDATE(B22,12))</f>
        <v>22282</v>
      </c>
      <c r="C23" s="52">
        <f t="shared" si="2"/>
        <v>807</v>
      </c>
      <c r="D23" s="50" t="s">
        <v>115</v>
      </c>
      <c r="E23" s="49">
        <f t="shared" si="0"/>
        <v>46753</v>
      </c>
      <c r="F23" s="52" t="str">
        <f t="shared" si="1"/>
        <v>na 31-12-1960 en voor 01-10-1961</v>
      </c>
      <c r="G23" s="51" t="s">
        <v>100</v>
      </c>
      <c r="H23" s="36"/>
    </row>
    <row r="24" spans="1:8" x14ac:dyDescent="0.2">
      <c r="A24" s="48">
        <v>2029</v>
      </c>
      <c r="B24" s="53">
        <f t="shared" si="3"/>
        <v>22555</v>
      </c>
      <c r="C24" s="52">
        <f t="shared" si="2"/>
        <v>807</v>
      </c>
      <c r="D24" s="50" t="s">
        <v>115</v>
      </c>
      <c r="E24" s="49">
        <f t="shared" si="0"/>
        <v>47119</v>
      </c>
      <c r="F24" s="52" t="str">
        <f t="shared" si="1"/>
        <v>na 30-09-1961 en voor 01-10-1962</v>
      </c>
      <c r="G24" s="51"/>
      <c r="H24" s="36"/>
    </row>
    <row r="25" spans="1:8" x14ac:dyDescent="0.2">
      <c r="A25" s="56">
        <v>2030</v>
      </c>
      <c r="B25" s="57">
        <f t="shared" si="3"/>
        <v>22920</v>
      </c>
      <c r="C25" s="58">
        <f t="shared" si="2"/>
        <v>810</v>
      </c>
      <c r="D25" s="59" t="str">
        <f t="shared" ref="D25:D82" si="4">"verwacht op "&amp;ROUNDDOWN(C25/12,0)&amp;" jaar "&amp;IF(MOD(C25,12)&gt;0,"en "&amp;MOD(C25,12)&amp;" maanden","")</f>
        <v>verwacht op 67 jaar en 6 maanden</v>
      </c>
      <c r="E25" s="60">
        <f t="shared" si="0"/>
        <v>47484</v>
      </c>
      <c r="F25" s="58" t="str">
        <f t="shared" si="1"/>
        <v>na 30-09-1962 en voor 01-07-1963</v>
      </c>
      <c r="G25" s="61" t="s">
        <v>100</v>
      </c>
      <c r="H25" s="36"/>
    </row>
    <row r="26" spans="1:8" x14ac:dyDescent="0.2">
      <c r="A26" s="56">
        <v>2031</v>
      </c>
      <c r="B26" s="57">
        <f t="shared" si="3"/>
        <v>23193</v>
      </c>
      <c r="C26" s="58">
        <f t="shared" si="2"/>
        <v>810</v>
      </c>
      <c r="D26" s="59" t="str">
        <f t="shared" si="4"/>
        <v>verwacht op 67 jaar en 6 maanden</v>
      </c>
      <c r="E26" s="60">
        <f t="shared" si="0"/>
        <v>47849</v>
      </c>
      <c r="F26" s="58" t="str">
        <f t="shared" si="1"/>
        <v>na 30-06-1963 en voor 01-07-1964</v>
      </c>
      <c r="G26" s="61"/>
      <c r="H26" s="36"/>
    </row>
    <row r="27" spans="1:8" x14ac:dyDescent="0.2">
      <c r="A27" s="56">
        <v>2032</v>
      </c>
      <c r="B27" s="57">
        <f t="shared" si="3"/>
        <v>23559</v>
      </c>
      <c r="C27" s="58">
        <f t="shared" si="2"/>
        <v>810</v>
      </c>
      <c r="D27" s="59" t="str">
        <f t="shared" si="4"/>
        <v>verwacht op 67 jaar en 6 maanden</v>
      </c>
      <c r="E27" s="60">
        <f t="shared" si="0"/>
        <v>48214</v>
      </c>
      <c r="F27" s="58" t="str">
        <f t="shared" si="1"/>
        <v>na 30-06-1964 en voor 01-07-1965</v>
      </c>
      <c r="G27" s="61"/>
      <c r="H27" s="36"/>
    </row>
    <row r="28" spans="1:8" x14ac:dyDescent="0.2">
      <c r="A28" s="56">
        <v>2033</v>
      </c>
      <c r="B28" s="57">
        <f t="shared" si="3"/>
        <v>23924</v>
      </c>
      <c r="C28" s="58">
        <f t="shared" si="2"/>
        <v>813</v>
      </c>
      <c r="D28" s="59" t="str">
        <f t="shared" si="4"/>
        <v>verwacht op 67 jaar en 9 maanden</v>
      </c>
      <c r="E28" s="60">
        <f t="shared" si="0"/>
        <v>48580</v>
      </c>
      <c r="F28" s="58" t="str">
        <f t="shared" si="1"/>
        <v>na 30-06-1965 en voor 01-04-1966</v>
      </c>
      <c r="G28" s="61" t="s">
        <v>100</v>
      </c>
      <c r="H28" s="36"/>
    </row>
    <row r="29" spans="1:8" x14ac:dyDescent="0.2">
      <c r="A29" s="56">
        <v>2034</v>
      </c>
      <c r="B29" s="57">
        <f t="shared" si="3"/>
        <v>24198</v>
      </c>
      <c r="C29" s="58">
        <f t="shared" si="2"/>
        <v>813</v>
      </c>
      <c r="D29" s="59" t="str">
        <f t="shared" si="4"/>
        <v>verwacht op 67 jaar en 9 maanden</v>
      </c>
      <c r="E29" s="60">
        <f t="shared" si="0"/>
        <v>48945</v>
      </c>
      <c r="F29" s="58" t="str">
        <f t="shared" si="1"/>
        <v>na 31-03-1966 en voor 01-04-1967</v>
      </c>
      <c r="G29" s="61"/>
      <c r="H29" s="36"/>
    </row>
    <row r="30" spans="1:8" x14ac:dyDescent="0.2">
      <c r="A30" s="56">
        <v>2035</v>
      </c>
      <c r="B30" s="57">
        <f t="shared" si="3"/>
        <v>24563</v>
      </c>
      <c r="C30" s="58">
        <f t="shared" si="2"/>
        <v>813</v>
      </c>
      <c r="D30" s="59" t="str">
        <f t="shared" si="4"/>
        <v>verwacht op 67 jaar en 9 maanden</v>
      </c>
      <c r="E30" s="60">
        <f t="shared" si="0"/>
        <v>49310</v>
      </c>
      <c r="F30" s="58" t="str">
        <f t="shared" si="1"/>
        <v>na 31-03-1967 en voor 01-04-1968</v>
      </c>
      <c r="G30" s="61"/>
      <c r="H30" s="36"/>
    </row>
    <row r="31" spans="1:8" x14ac:dyDescent="0.2">
      <c r="A31" s="56">
        <v>2036</v>
      </c>
      <c r="B31" s="57">
        <f t="shared" si="3"/>
        <v>24929</v>
      </c>
      <c r="C31" s="58">
        <f t="shared" si="2"/>
        <v>816</v>
      </c>
      <c r="D31" s="59" t="str">
        <f t="shared" si="4"/>
        <v xml:space="preserve">verwacht op 68 jaar </v>
      </c>
      <c r="E31" s="60">
        <f t="shared" si="0"/>
        <v>49675</v>
      </c>
      <c r="F31" s="58" t="str">
        <f t="shared" si="1"/>
        <v>na 31-03-1968 en voor 01-01-1969</v>
      </c>
      <c r="G31" s="61" t="s">
        <v>100</v>
      </c>
      <c r="H31" s="36"/>
    </row>
    <row r="32" spans="1:8" x14ac:dyDescent="0.2">
      <c r="A32" s="56">
        <v>2037</v>
      </c>
      <c r="B32" s="57">
        <f t="shared" si="3"/>
        <v>25204</v>
      </c>
      <c r="C32" s="58">
        <f t="shared" si="2"/>
        <v>816</v>
      </c>
      <c r="D32" s="59" t="str">
        <f t="shared" si="4"/>
        <v xml:space="preserve">verwacht op 68 jaar </v>
      </c>
      <c r="E32" s="60">
        <f t="shared" si="0"/>
        <v>50041</v>
      </c>
      <c r="F32" s="58" t="str">
        <f t="shared" si="1"/>
        <v>na 31-12-1968 en voor 01-01-1970</v>
      </c>
      <c r="G32" s="61"/>
      <c r="H32" s="36"/>
    </row>
    <row r="33" spans="1:8" x14ac:dyDescent="0.2">
      <c r="A33" s="56">
        <v>2038</v>
      </c>
      <c r="B33" s="57">
        <f t="shared" si="3"/>
        <v>25569</v>
      </c>
      <c r="C33" s="58">
        <f t="shared" si="2"/>
        <v>816</v>
      </c>
      <c r="D33" s="59" t="str">
        <f t="shared" si="4"/>
        <v xml:space="preserve">verwacht op 68 jaar </v>
      </c>
      <c r="E33" s="60">
        <f t="shared" si="0"/>
        <v>50406</v>
      </c>
      <c r="F33" s="58" t="str">
        <f t="shared" si="1"/>
        <v>na 31-12-1969 en voor 01-01-1971</v>
      </c>
      <c r="G33" s="61"/>
      <c r="H33" s="36"/>
    </row>
    <row r="34" spans="1:8" x14ac:dyDescent="0.2">
      <c r="A34" s="56">
        <v>2039</v>
      </c>
      <c r="B34" s="57">
        <f t="shared" si="3"/>
        <v>25934</v>
      </c>
      <c r="C34" s="58">
        <f t="shared" si="2"/>
        <v>816</v>
      </c>
      <c r="D34" s="59" t="str">
        <f t="shared" si="4"/>
        <v xml:space="preserve">verwacht op 68 jaar </v>
      </c>
      <c r="E34" s="60">
        <f t="shared" si="0"/>
        <v>50771</v>
      </c>
      <c r="F34" s="58" t="str">
        <f t="shared" si="1"/>
        <v>na 31-12-1970 en voor 01-01-1972</v>
      </c>
      <c r="G34" s="61"/>
      <c r="H34" s="36"/>
    </row>
    <row r="35" spans="1:8" x14ac:dyDescent="0.2">
      <c r="A35" s="56">
        <v>2040</v>
      </c>
      <c r="B35" s="57">
        <f t="shared" si="3"/>
        <v>26299</v>
      </c>
      <c r="C35" s="58">
        <f t="shared" si="2"/>
        <v>819</v>
      </c>
      <c r="D35" s="59" t="str">
        <f t="shared" si="4"/>
        <v>verwacht op 68 jaar en 3 maanden</v>
      </c>
      <c r="E35" s="60">
        <f t="shared" si="0"/>
        <v>51136</v>
      </c>
      <c r="F35" s="58" t="str">
        <f t="shared" si="1"/>
        <v>na 31-12-1971 en voor 01-10-1972</v>
      </c>
      <c r="G35" s="61" t="s">
        <v>100</v>
      </c>
      <c r="H35" s="36"/>
    </row>
    <row r="36" spans="1:8" x14ac:dyDescent="0.2">
      <c r="A36" s="56">
        <v>2041</v>
      </c>
      <c r="B36" s="57">
        <f t="shared" si="3"/>
        <v>26573</v>
      </c>
      <c r="C36" s="58">
        <f t="shared" si="2"/>
        <v>819</v>
      </c>
      <c r="D36" s="59" t="str">
        <f t="shared" si="4"/>
        <v>verwacht op 68 jaar en 3 maanden</v>
      </c>
      <c r="E36" s="60">
        <f t="shared" si="0"/>
        <v>51502</v>
      </c>
      <c r="F36" s="58" t="str">
        <f t="shared" si="1"/>
        <v>na 30-09-1972 en voor 01-10-1973</v>
      </c>
      <c r="G36" s="61"/>
      <c r="H36" s="36"/>
    </row>
    <row r="37" spans="1:8" x14ac:dyDescent="0.2">
      <c r="A37" s="56">
        <v>2042</v>
      </c>
      <c r="B37" s="57">
        <f t="shared" si="3"/>
        <v>26938</v>
      </c>
      <c r="C37" s="58">
        <f t="shared" si="2"/>
        <v>819</v>
      </c>
      <c r="D37" s="59" t="str">
        <f t="shared" si="4"/>
        <v>verwacht op 68 jaar en 3 maanden</v>
      </c>
      <c r="E37" s="60">
        <f t="shared" si="0"/>
        <v>51867</v>
      </c>
      <c r="F37" s="58" t="str">
        <f t="shared" si="1"/>
        <v>na 30-09-1973 en voor 01-10-1974</v>
      </c>
      <c r="G37" s="61"/>
      <c r="H37" s="36"/>
    </row>
    <row r="38" spans="1:8" x14ac:dyDescent="0.2">
      <c r="A38" s="56">
        <v>2043</v>
      </c>
      <c r="B38" s="57">
        <f t="shared" si="3"/>
        <v>27303</v>
      </c>
      <c r="C38" s="58">
        <f t="shared" si="2"/>
        <v>822</v>
      </c>
      <c r="D38" s="59" t="str">
        <f t="shared" si="4"/>
        <v>verwacht op 68 jaar en 6 maanden</v>
      </c>
      <c r="E38" s="60">
        <f t="shared" si="0"/>
        <v>52232</v>
      </c>
      <c r="F38" s="58" t="str">
        <f t="shared" si="1"/>
        <v>na 30-09-1974 en voor 01-07-1975</v>
      </c>
      <c r="G38" s="61" t="s">
        <v>100</v>
      </c>
      <c r="H38" s="36"/>
    </row>
    <row r="39" spans="1:8" x14ac:dyDescent="0.2">
      <c r="A39" s="56">
        <v>2044</v>
      </c>
      <c r="B39" s="57">
        <f t="shared" si="3"/>
        <v>27576</v>
      </c>
      <c r="C39" s="58">
        <f t="shared" si="2"/>
        <v>822</v>
      </c>
      <c r="D39" s="59" t="str">
        <f t="shared" si="4"/>
        <v>verwacht op 68 jaar en 6 maanden</v>
      </c>
      <c r="E39" s="60">
        <f t="shared" si="0"/>
        <v>52597</v>
      </c>
      <c r="F39" s="58" t="str">
        <f t="shared" si="1"/>
        <v>na 30-06-1975 en voor 01-07-1976</v>
      </c>
      <c r="G39" s="61"/>
      <c r="H39" s="36"/>
    </row>
    <row r="40" spans="1:8" x14ac:dyDescent="0.2">
      <c r="A40" s="56">
        <v>2045</v>
      </c>
      <c r="B40" s="57">
        <f t="shared" si="3"/>
        <v>27942</v>
      </c>
      <c r="C40" s="58">
        <f t="shared" si="2"/>
        <v>822</v>
      </c>
      <c r="D40" s="59" t="str">
        <f t="shared" si="4"/>
        <v>verwacht op 68 jaar en 6 maanden</v>
      </c>
      <c r="E40" s="60">
        <f t="shared" si="0"/>
        <v>52963</v>
      </c>
      <c r="F40" s="58" t="str">
        <f t="shared" si="1"/>
        <v>na 30-06-1976 en voor 01-07-1977</v>
      </c>
      <c r="G40" s="61"/>
      <c r="H40" s="62"/>
    </row>
    <row r="41" spans="1:8" x14ac:dyDescent="0.2">
      <c r="A41" s="56">
        <v>2046</v>
      </c>
      <c r="B41" s="57">
        <f t="shared" si="3"/>
        <v>28307</v>
      </c>
      <c r="C41" s="58">
        <f t="shared" si="2"/>
        <v>825</v>
      </c>
      <c r="D41" s="59" t="str">
        <f t="shared" si="4"/>
        <v>verwacht op 68 jaar en 9 maanden</v>
      </c>
      <c r="E41" s="60">
        <f t="shared" si="0"/>
        <v>53328</v>
      </c>
      <c r="F41" s="58" t="str">
        <f t="shared" si="1"/>
        <v>na 30-06-1977 en voor 01-04-1978</v>
      </c>
      <c r="G41" s="61" t="s">
        <v>100</v>
      </c>
      <c r="H41" s="36"/>
    </row>
    <row r="42" spans="1:8" x14ac:dyDescent="0.2">
      <c r="A42" s="56">
        <v>2047</v>
      </c>
      <c r="B42" s="57">
        <f t="shared" si="3"/>
        <v>28581</v>
      </c>
      <c r="C42" s="58">
        <f t="shared" si="2"/>
        <v>825</v>
      </c>
      <c r="D42" s="59" t="str">
        <f t="shared" si="4"/>
        <v>verwacht op 68 jaar en 9 maanden</v>
      </c>
      <c r="E42" s="60">
        <f t="shared" si="0"/>
        <v>53693</v>
      </c>
      <c r="F42" s="58" t="str">
        <f t="shared" si="1"/>
        <v>na 31-03-1978 en voor 01-04-1979</v>
      </c>
      <c r="G42" s="61"/>
      <c r="H42" s="36"/>
    </row>
    <row r="43" spans="1:8" x14ac:dyDescent="0.2">
      <c r="A43" s="56">
        <v>2048</v>
      </c>
      <c r="B43" s="57">
        <f t="shared" si="3"/>
        <v>28946</v>
      </c>
      <c r="C43" s="58">
        <f t="shared" si="2"/>
        <v>825</v>
      </c>
      <c r="D43" s="59" t="str">
        <f t="shared" si="4"/>
        <v>verwacht op 68 jaar en 9 maanden</v>
      </c>
      <c r="E43" s="60">
        <f t="shared" si="0"/>
        <v>54058</v>
      </c>
      <c r="F43" s="58" t="str">
        <f t="shared" si="1"/>
        <v>na 31-03-1979 en voor 01-04-1980</v>
      </c>
      <c r="G43" s="61"/>
      <c r="H43" s="36"/>
    </row>
    <row r="44" spans="1:8" x14ac:dyDescent="0.2">
      <c r="A44" s="56">
        <v>2049</v>
      </c>
      <c r="B44" s="57">
        <f t="shared" si="3"/>
        <v>29312</v>
      </c>
      <c r="C44" s="58">
        <f t="shared" si="2"/>
        <v>825</v>
      </c>
      <c r="D44" s="59" t="str">
        <f t="shared" si="4"/>
        <v>verwacht op 68 jaar en 9 maanden</v>
      </c>
      <c r="E44" s="60">
        <f t="shared" si="0"/>
        <v>54424</v>
      </c>
      <c r="F44" s="58" t="str">
        <f t="shared" si="1"/>
        <v>na 31-03-1980 en voor 01-04-1981</v>
      </c>
      <c r="G44" s="61"/>
      <c r="H44" s="36"/>
    </row>
    <row r="45" spans="1:8" x14ac:dyDescent="0.2">
      <c r="A45" s="56">
        <v>2050</v>
      </c>
      <c r="B45" s="57">
        <f t="shared" si="3"/>
        <v>29677</v>
      </c>
      <c r="C45" s="58">
        <f t="shared" si="2"/>
        <v>828</v>
      </c>
      <c r="D45" s="59" t="str">
        <f t="shared" si="4"/>
        <v xml:space="preserve">verwacht op 69 jaar </v>
      </c>
      <c r="E45" s="60">
        <f t="shared" si="0"/>
        <v>54789</v>
      </c>
      <c r="F45" s="58" t="str">
        <f t="shared" si="1"/>
        <v>na 31-03-1981 en voor 01-01-1982</v>
      </c>
      <c r="G45" s="61" t="s">
        <v>100</v>
      </c>
      <c r="H45" s="36"/>
    </row>
    <row r="46" spans="1:8" x14ac:dyDescent="0.2">
      <c r="A46" s="56">
        <v>2051</v>
      </c>
      <c r="B46" s="57">
        <f t="shared" si="3"/>
        <v>29952</v>
      </c>
      <c r="C46" s="58">
        <f t="shared" si="2"/>
        <v>828</v>
      </c>
      <c r="D46" s="59" t="str">
        <f t="shared" si="4"/>
        <v xml:space="preserve">verwacht op 69 jaar </v>
      </c>
      <c r="E46" s="60">
        <f t="shared" si="0"/>
        <v>55154</v>
      </c>
      <c r="F46" s="58" t="str">
        <f t="shared" si="1"/>
        <v>na 31-12-1981 en voor 01-01-1983</v>
      </c>
      <c r="G46" s="61"/>
      <c r="H46" s="36"/>
    </row>
    <row r="47" spans="1:8" x14ac:dyDescent="0.2">
      <c r="A47" s="56">
        <v>2052</v>
      </c>
      <c r="B47" s="57">
        <f t="shared" si="3"/>
        <v>30317</v>
      </c>
      <c r="C47" s="58">
        <f t="shared" si="2"/>
        <v>828</v>
      </c>
      <c r="D47" s="59" t="str">
        <f t="shared" si="4"/>
        <v xml:space="preserve">verwacht op 69 jaar </v>
      </c>
      <c r="E47" s="60">
        <f t="shared" si="0"/>
        <v>55519</v>
      </c>
      <c r="F47" s="58" t="str">
        <f t="shared" si="1"/>
        <v>na 31-12-1982 en voor 01-01-1984</v>
      </c>
      <c r="G47" s="61"/>
      <c r="H47" s="36"/>
    </row>
    <row r="48" spans="1:8" x14ac:dyDescent="0.2">
      <c r="A48" s="56">
        <v>2053</v>
      </c>
      <c r="B48" s="57">
        <f t="shared" si="3"/>
        <v>30682</v>
      </c>
      <c r="C48" s="58">
        <f t="shared" si="2"/>
        <v>831</v>
      </c>
      <c r="D48" s="59" t="str">
        <f t="shared" si="4"/>
        <v>verwacht op 69 jaar en 3 maanden</v>
      </c>
      <c r="E48" s="60">
        <f t="shared" si="0"/>
        <v>55885</v>
      </c>
      <c r="F48" s="58" t="str">
        <f t="shared" si="1"/>
        <v>na 31-12-1983 en voor 01-10-1984</v>
      </c>
      <c r="G48" s="61" t="s">
        <v>100</v>
      </c>
      <c r="H48" s="36"/>
    </row>
    <row r="49" spans="1:8" x14ac:dyDescent="0.2">
      <c r="A49" s="56">
        <v>2054</v>
      </c>
      <c r="B49" s="57">
        <f t="shared" si="3"/>
        <v>30956</v>
      </c>
      <c r="C49" s="58">
        <f t="shared" si="2"/>
        <v>831</v>
      </c>
      <c r="D49" s="59" t="str">
        <f t="shared" si="4"/>
        <v>verwacht op 69 jaar en 3 maanden</v>
      </c>
      <c r="E49" s="60">
        <f t="shared" si="0"/>
        <v>56250</v>
      </c>
      <c r="F49" s="58" t="str">
        <f t="shared" si="1"/>
        <v>na 30-09-1984 en voor 01-10-1985</v>
      </c>
      <c r="G49" s="61"/>
      <c r="H49" s="36"/>
    </row>
    <row r="50" spans="1:8" x14ac:dyDescent="0.2">
      <c r="A50" s="56">
        <v>2055</v>
      </c>
      <c r="B50" s="57">
        <f t="shared" si="3"/>
        <v>31321</v>
      </c>
      <c r="C50" s="58">
        <f t="shared" si="2"/>
        <v>831</v>
      </c>
      <c r="D50" s="59" t="str">
        <f t="shared" si="4"/>
        <v>verwacht op 69 jaar en 3 maanden</v>
      </c>
      <c r="E50" s="60">
        <f t="shared" si="0"/>
        <v>56615</v>
      </c>
      <c r="F50" s="58" t="str">
        <f t="shared" si="1"/>
        <v>na 30-09-1985 en voor 01-10-1986</v>
      </c>
      <c r="G50" s="61"/>
      <c r="H50" s="36"/>
    </row>
    <row r="51" spans="1:8" x14ac:dyDescent="0.2">
      <c r="A51" s="56">
        <v>2056</v>
      </c>
      <c r="B51" s="57">
        <f t="shared" si="3"/>
        <v>31686</v>
      </c>
      <c r="C51" s="58">
        <f t="shared" si="2"/>
        <v>831</v>
      </c>
      <c r="D51" s="59" t="str">
        <f t="shared" si="4"/>
        <v>verwacht op 69 jaar en 3 maanden</v>
      </c>
      <c r="E51" s="60">
        <f t="shared" si="0"/>
        <v>56980</v>
      </c>
      <c r="F51" s="58" t="str">
        <f t="shared" si="1"/>
        <v>na 30-09-1986 en voor 01-10-1987</v>
      </c>
      <c r="G51" s="61"/>
      <c r="H51" s="36"/>
    </row>
    <row r="52" spans="1:8" x14ac:dyDescent="0.2">
      <c r="A52" s="56">
        <v>2057</v>
      </c>
      <c r="B52" s="57">
        <f t="shared" si="3"/>
        <v>32051</v>
      </c>
      <c r="C52" s="58">
        <f t="shared" si="2"/>
        <v>834</v>
      </c>
      <c r="D52" s="59" t="str">
        <f t="shared" si="4"/>
        <v>verwacht op 69 jaar en 6 maanden</v>
      </c>
      <c r="E52" s="60">
        <f t="shared" si="0"/>
        <v>57346</v>
      </c>
      <c r="F52" s="58" t="str">
        <f t="shared" si="1"/>
        <v>na 30-09-1987 en voor 01-07-1988</v>
      </c>
      <c r="G52" s="61" t="s">
        <v>100</v>
      </c>
      <c r="H52" s="36"/>
    </row>
    <row r="53" spans="1:8" x14ac:dyDescent="0.2">
      <c r="A53" s="56">
        <v>2058</v>
      </c>
      <c r="B53" s="57">
        <f t="shared" si="3"/>
        <v>32325</v>
      </c>
      <c r="C53" s="58">
        <f t="shared" si="2"/>
        <v>834</v>
      </c>
      <c r="D53" s="59" t="str">
        <f t="shared" si="4"/>
        <v>verwacht op 69 jaar en 6 maanden</v>
      </c>
      <c r="E53" s="60">
        <f t="shared" si="0"/>
        <v>57711</v>
      </c>
      <c r="F53" s="58" t="str">
        <f t="shared" si="1"/>
        <v>na 30-06-1988 en voor 01-07-1989</v>
      </c>
      <c r="G53" s="61"/>
      <c r="H53" s="36"/>
    </row>
    <row r="54" spans="1:8" x14ac:dyDescent="0.2">
      <c r="A54" s="56">
        <v>2059</v>
      </c>
      <c r="B54" s="57">
        <f t="shared" si="3"/>
        <v>32690</v>
      </c>
      <c r="C54" s="58">
        <f t="shared" si="2"/>
        <v>834</v>
      </c>
      <c r="D54" s="59" t="str">
        <f t="shared" si="4"/>
        <v>verwacht op 69 jaar en 6 maanden</v>
      </c>
      <c r="E54" s="60">
        <f t="shared" si="0"/>
        <v>58076</v>
      </c>
      <c r="F54" s="58" t="str">
        <f t="shared" si="1"/>
        <v>na 30-06-1989 en voor 01-07-1990</v>
      </c>
      <c r="G54" s="61"/>
      <c r="H54" s="36"/>
    </row>
    <row r="55" spans="1:8" x14ac:dyDescent="0.2">
      <c r="A55" s="56">
        <v>2060</v>
      </c>
      <c r="B55" s="57">
        <f t="shared" si="3"/>
        <v>33055</v>
      </c>
      <c r="C55" s="58">
        <f t="shared" si="2"/>
        <v>837</v>
      </c>
      <c r="D55" s="59" t="str">
        <f t="shared" si="4"/>
        <v>verwacht op 69 jaar en 9 maanden</v>
      </c>
      <c r="E55" s="60">
        <f t="shared" si="0"/>
        <v>58441</v>
      </c>
      <c r="F55" s="58" t="str">
        <f t="shared" si="1"/>
        <v>na 30-06-1990 en voor 01-04-1991</v>
      </c>
      <c r="G55" s="61" t="s">
        <v>100</v>
      </c>
      <c r="H55" s="36"/>
    </row>
    <row r="56" spans="1:8" x14ac:dyDescent="0.2">
      <c r="A56" s="56">
        <v>2061</v>
      </c>
      <c r="B56" s="57">
        <f t="shared" si="3"/>
        <v>33329</v>
      </c>
      <c r="C56" s="58">
        <f t="shared" si="2"/>
        <v>837</v>
      </c>
      <c r="D56" s="59" t="str">
        <f t="shared" si="4"/>
        <v>verwacht op 69 jaar en 9 maanden</v>
      </c>
      <c r="E56" s="60">
        <f t="shared" si="0"/>
        <v>58807</v>
      </c>
      <c r="F56" s="58" t="str">
        <f t="shared" si="1"/>
        <v>na 31-03-1991 en voor 01-04-1992</v>
      </c>
      <c r="G56" s="61"/>
      <c r="H56" s="36"/>
    </row>
    <row r="57" spans="1:8" x14ac:dyDescent="0.2">
      <c r="A57" s="56">
        <v>2062</v>
      </c>
      <c r="B57" s="57">
        <f t="shared" si="3"/>
        <v>33695</v>
      </c>
      <c r="C57" s="58">
        <f t="shared" si="2"/>
        <v>837</v>
      </c>
      <c r="D57" s="59" t="str">
        <f t="shared" si="4"/>
        <v>verwacht op 69 jaar en 9 maanden</v>
      </c>
      <c r="E57" s="60">
        <f t="shared" si="0"/>
        <v>59172</v>
      </c>
      <c r="F57" s="58" t="str">
        <f t="shared" si="1"/>
        <v>na 31-03-1992 en voor 01-04-1993</v>
      </c>
      <c r="G57" s="61"/>
      <c r="H57" s="36"/>
    </row>
    <row r="58" spans="1:8" x14ac:dyDescent="0.2">
      <c r="A58" s="56">
        <v>2063</v>
      </c>
      <c r="B58" s="57">
        <f t="shared" si="3"/>
        <v>34060</v>
      </c>
      <c r="C58" s="58">
        <f t="shared" si="2"/>
        <v>837</v>
      </c>
      <c r="D58" s="59" t="str">
        <f t="shared" si="4"/>
        <v>verwacht op 69 jaar en 9 maanden</v>
      </c>
      <c r="E58" s="60">
        <f t="shared" si="0"/>
        <v>59537</v>
      </c>
      <c r="F58" s="58" t="str">
        <f t="shared" si="1"/>
        <v>na 31-03-1993 en voor 01-04-1994</v>
      </c>
      <c r="G58" s="61"/>
      <c r="H58" s="36"/>
    </row>
    <row r="59" spans="1:8" x14ac:dyDescent="0.2">
      <c r="A59" s="56">
        <v>2064</v>
      </c>
      <c r="B59" s="57">
        <f t="shared" si="3"/>
        <v>34425</v>
      </c>
      <c r="C59" s="58">
        <f t="shared" si="2"/>
        <v>840</v>
      </c>
      <c r="D59" s="59" t="str">
        <f t="shared" si="4"/>
        <v xml:space="preserve">verwacht op 70 jaar </v>
      </c>
      <c r="E59" s="60">
        <f t="shared" si="0"/>
        <v>59902</v>
      </c>
      <c r="F59" s="58" t="str">
        <f t="shared" si="1"/>
        <v>na 31-03-1994 en voor 01-01-1995</v>
      </c>
      <c r="G59" s="61" t="s">
        <v>100</v>
      </c>
      <c r="H59" s="36"/>
    </row>
    <row r="60" spans="1:8" x14ac:dyDescent="0.2">
      <c r="A60" s="56">
        <v>2065</v>
      </c>
      <c r="B60" s="57">
        <f t="shared" si="3"/>
        <v>34700</v>
      </c>
      <c r="C60" s="58">
        <f t="shared" si="2"/>
        <v>840</v>
      </c>
      <c r="D60" s="59" t="str">
        <f t="shared" si="4"/>
        <v xml:space="preserve">verwacht op 70 jaar </v>
      </c>
      <c r="E60" s="60">
        <f t="shared" si="0"/>
        <v>60268</v>
      </c>
      <c r="F60" s="58" t="str">
        <f t="shared" si="1"/>
        <v>na 31-12-1994 en voor 01-01-1996</v>
      </c>
      <c r="G60" s="61"/>
      <c r="H60" s="36"/>
    </row>
    <row r="61" spans="1:8" x14ac:dyDescent="0.2">
      <c r="A61" s="56">
        <v>2066</v>
      </c>
      <c r="B61" s="57">
        <f t="shared" si="3"/>
        <v>35065</v>
      </c>
      <c r="C61" s="58">
        <f t="shared" si="2"/>
        <v>840</v>
      </c>
      <c r="D61" s="59" t="str">
        <f t="shared" si="4"/>
        <v xml:space="preserve">verwacht op 70 jaar </v>
      </c>
      <c r="E61" s="60">
        <f t="shared" si="0"/>
        <v>60633</v>
      </c>
      <c r="F61" s="58" t="str">
        <f t="shared" si="1"/>
        <v>na 31-12-1995 en voor 01-01-1997</v>
      </c>
      <c r="G61" s="61"/>
      <c r="H61" s="36"/>
    </row>
    <row r="62" spans="1:8" x14ac:dyDescent="0.2">
      <c r="A62" s="56">
        <v>2067</v>
      </c>
      <c r="B62" s="57">
        <f t="shared" si="3"/>
        <v>35431</v>
      </c>
      <c r="C62" s="58">
        <f t="shared" si="2"/>
        <v>840</v>
      </c>
      <c r="D62" s="59" t="str">
        <f t="shared" si="4"/>
        <v xml:space="preserve">verwacht op 70 jaar </v>
      </c>
      <c r="E62" s="60">
        <f t="shared" si="0"/>
        <v>60998</v>
      </c>
      <c r="F62" s="58" t="str">
        <f t="shared" si="1"/>
        <v>na 31-12-1996 en voor 01-01-1998</v>
      </c>
      <c r="G62" s="61"/>
      <c r="H62" s="36"/>
    </row>
    <row r="63" spans="1:8" x14ac:dyDescent="0.2">
      <c r="A63" s="56">
        <v>2068</v>
      </c>
      <c r="B63" s="57">
        <f t="shared" si="3"/>
        <v>35796</v>
      </c>
      <c r="C63" s="58">
        <f t="shared" si="2"/>
        <v>843</v>
      </c>
      <c r="D63" s="59" t="str">
        <f t="shared" si="4"/>
        <v>verwacht op 70 jaar en 3 maanden</v>
      </c>
      <c r="E63" s="60">
        <f t="shared" si="0"/>
        <v>61363</v>
      </c>
      <c r="F63" s="58" t="str">
        <f t="shared" si="1"/>
        <v>na 31-12-1997 en voor 01-10-1998</v>
      </c>
      <c r="G63" s="61" t="s">
        <v>100</v>
      </c>
      <c r="H63" s="36"/>
    </row>
    <row r="64" spans="1:8" x14ac:dyDescent="0.2">
      <c r="A64" s="56">
        <v>2069</v>
      </c>
      <c r="B64" s="57">
        <f t="shared" si="3"/>
        <v>36069</v>
      </c>
      <c r="C64" s="58">
        <f t="shared" si="2"/>
        <v>843</v>
      </c>
      <c r="D64" s="59" t="str">
        <f t="shared" si="4"/>
        <v>verwacht op 70 jaar en 3 maanden</v>
      </c>
      <c r="E64" s="60">
        <f t="shared" si="0"/>
        <v>61729</v>
      </c>
      <c r="F64" s="58" t="str">
        <f t="shared" si="1"/>
        <v>na 30-09-1998 en voor 01-10-1999</v>
      </c>
      <c r="G64" s="61"/>
      <c r="H64" s="36"/>
    </row>
    <row r="65" spans="1:8" x14ac:dyDescent="0.2">
      <c r="A65" s="56">
        <v>2070</v>
      </c>
      <c r="B65" s="57">
        <f t="shared" si="3"/>
        <v>36434</v>
      </c>
      <c r="C65" s="58">
        <f t="shared" si="2"/>
        <v>843</v>
      </c>
      <c r="D65" s="59" t="str">
        <f t="shared" si="4"/>
        <v>verwacht op 70 jaar en 3 maanden</v>
      </c>
      <c r="E65" s="60">
        <f t="shared" si="0"/>
        <v>62094</v>
      </c>
      <c r="F65" s="58" t="str">
        <f t="shared" si="1"/>
        <v>na 30-09-1999 en voor 01-10-2000</v>
      </c>
      <c r="G65" s="61"/>
      <c r="H65" s="36"/>
    </row>
    <row r="66" spans="1:8" x14ac:dyDescent="0.2">
      <c r="A66" s="56">
        <v>2071</v>
      </c>
      <c r="B66" s="57">
        <f t="shared" si="3"/>
        <v>36800</v>
      </c>
      <c r="C66" s="58">
        <f t="shared" si="2"/>
        <v>843</v>
      </c>
      <c r="D66" s="59" t="str">
        <f t="shared" si="4"/>
        <v>verwacht op 70 jaar en 3 maanden</v>
      </c>
      <c r="E66" s="60">
        <f t="shared" si="0"/>
        <v>62459</v>
      </c>
      <c r="F66" s="58" t="str">
        <f t="shared" si="1"/>
        <v>na 30-09-2000 en voor 01-10-2001</v>
      </c>
      <c r="G66" s="61"/>
      <c r="H66" s="36"/>
    </row>
    <row r="67" spans="1:8" x14ac:dyDescent="0.2">
      <c r="A67" s="56">
        <v>2072</v>
      </c>
      <c r="B67" s="57">
        <f t="shared" si="3"/>
        <v>37165</v>
      </c>
      <c r="C67" s="58">
        <f t="shared" si="2"/>
        <v>843</v>
      </c>
      <c r="D67" s="59" t="str">
        <f t="shared" si="4"/>
        <v>verwacht op 70 jaar en 3 maanden</v>
      </c>
      <c r="E67" s="60">
        <f t="shared" si="0"/>
        <v>62824</v>
      </c>
      <c r="F67" s="58" t="str">
        <f t="shared" si="1"/>
        <v>na 30-09-2001 en voor 01-10-2002</v>
      </c>
      <c r="G67" s="61"/>
      <c r="H67" s="36"/>
    </row>
    <row r="68" spans="1:8" x14ac:dyDescent="0.2">
      <c r="A68" s="56">
        <v>2073</v>
      </c>
      <c r="B68" s="57">
        <f t="shared" si="3"/>
        <v>37530</v>
      </c>
      <c r="C68" s="58">
        <f t="shared" si="2"/>
        <v>843</v>
      </c>
      <c r="D68" s="59" t="str">
        <f t="shared" si="4"/>
        <v>verwacht op 70 jaar en 3 maanden</v>
      </c>
      <c r="E68" s="60">
        <f t="shared" si="0"/>
        <v>63190</v>
      </c>
      <c r="F68" s="58" t="str">
        <f t="shared" si="1"/>
        <v>na 30-09-2002 en voor 01-10-2003</v>
      </c>
      <c r="G68" s="61"/>
      <c r="H68" s="36"/>
    </row>
    <row r="69" spans="1:8" x14ac:dyDescent="0.2">
      <c r="A69" s="56">
        <v>2074</v>
      </c>
      <c r="B69" s="57">
        <f t="shared" si="3"/>
        <v>37895</v>
      </c>
      <c r="C69" s="58">
        <f t="shared" si="2"/>
        <v>843</v>
      </c>
      <c r="D69" s="59" t="str">
        <f t="shared" si="4"/>
        <v>verwacht op 70 jaar en 3 maanden</v>
      </c>
      <c r="E69" s="60">
        <f t="shared" si="0"/>
        <v>63555</v>
      </c>
      <c r="F69" s="58" t="str">
        <f t="shared" si="1"/>
        <v>na 30-09-2003 en voor 01-10-2004</v>
      </c>
      <c r="G69" s="61"/>
      <c r="H69" s="36"/>
    </row>
    <row r="70" spans="1:8" x14ac:dyDescent="0.2">
      <c r="A70" s="56">
        <v>2075</v>
      </c>
      <c r="B70" s="57">
        <f t="shared" si="3"/>
        <v>38261</v>
      </c>
      <c r="C70" s="58">
        <f t="shared" si="2"/>
        <v>843</v>
      </c>
      <c r="D70" s="59" t="str">
        <f t="shared" si="4"/>
        <v>verwacht op 70 jaar en 3 maanden</v>
      </c>
      <c r="E70" s="60">
        <f t="shared" si="0"/>
        <v>63920</v>
      </c>
      <c r="F70" s="58" t="str">
        <f t="shared" si="1"/>
        <v>na 30-09-2004 en voor 01-10-2005</v>
      </c>
      <c r="G70" s="61"/>
      <c r="H70" s="36"/>
    </row>
    <row r="71" spans="1:8" x14ac:dyDescent="0.2">
      <c r="A71" s="56">
        <v>2076</v>
      </c>
      <c r="B71" s="57">
        <f t="shared" si="3"/>
        <v>38626</v>
      </c>
      <c r="C71" s="58">
        <f t="shared" si="2"/>
        <v>843</v>
      </c>
      <c r="D71" s="59" t="str">
        <f t="shared" si="4"/>
        <v>verwacht op 70 jaar en 3 maanden</v>
      </c>
      <c r="E71" s="60">
        <f t="shared" si="0"/>
        <v>64285</v>
      </c>
      <c r="F71" s="58" t="str">
        <f t="shared" si="1"/>
        <v>na 30-09-2005 en voor 01-10-2006</v>
      </c>
      <c r="G71" s="61"/>
      <c r="H71" s="36"/>
    </row>
    <row r="72" spans="1:8" x14ac:dyDescent="0.2">
      <c r="A72" s="56">
        <v>2077</v>
      </c>
      <c r="B72" s="57">
        <f t="shared" si="3"/>
        <v>38991</v>
      </c>
      <c r="C72" s="58">
        <f t="shared" si="2"/>
        <v>843</v>
      </c>
      <c r="D72" s="59" t="str">
        <f t="shared" si="4"/>
        <v>verwacht op 70 jaar en 3 maanden</v>
      </c>
      <c r="E72" s="60">
        <f t="shared" si="0"/>
        <v>64651</v>
      </c>
      <c r="F72" s="58" t="str">
        <f t="shared" si="1"/>
        <v>na 30-09-2006 en voor 01-10-2007</v>
      </c>
      <c r="G72" s="61"/>
      <c r="H72" s="36"/>
    </row>
    <row r="73" spans="1:8" x14ac:dyDescent="0.2">
      <c r="A73" s="56">
        <v>2078</v>
      </c>
      <c r="B73" s="57">
        <f t="shared" si="3"/>
        <v>39356</v>
      </c>
      <c r="C73" s="58">
        <f t="shared" si="2"/>
        <v>843</v>
      </c>
      <c r="D73" s="59" t="str">
        <f t="shared" si="4"/>
        <v>verwacht op 70 jaar en 3 maanden</v>
      </c>
      <c r="E73" s="60">
        <f t="shared" ref="E73:E83" si="5">EDATE(B73,VLOOKUP(B73-1,$B$7:$C$95,2,TRUE))</f>
        <v>65016</v>
      </c>
      <c r="F73" s="58" t="str">
        <f t="shared" si="1"/>
        <v>na 30-09-2007 en voor 01-10-2008</v>
      </c>
      <c r="G73" s="61"/>
      <c r="H73" s="36"/>
    </row>
    <row r="74" spans="1:8" x14ac:dyDescent="0.2">
      <c r="A74" s="56">
        <v>2079</v>
      </c>
      <c r="B74" s="57">
        <f t="shared" si="3"/>
        <v>39722</v>
      </c>
      <c r="C74" s="58">
        <f t="shared" si="2"/>
        <v>843</v>
      </c>
      <c r="D74" s="59" t="str">
        <f t="shared" si="4"/>
        <v>verwacht op 70 jaar en 3 maanden</v>
      </c>
      <c r="E74" s="60">
        <f t="shared" si="5"/>
        <v>65381</v>
      </c>
      <c r="F74" s="58" t="str">
        <f t="shared" si="1"/>
        <v>na 30-09-2008 en voor 01-10-2009</v>
      </c>
      <c r="G74" s="61"/>
      <c r="H74" s="36"/>
    </row>
    <row r="75" spans="1:8" x14ac:dyDescent="0.2">
      <c r="A75" s="56">
        <v>2080</v>
      </c>
      <c r="B75" s="57">
        <f t="shared" si="3"/>
        <v>40087</v>
      </c>
      <c r="C75" s="58">
        <f t="shared" si="2"/>
        <v>843</v>
      </c>
      <c r="D75" s="59" t="str">
        <f t="shared" si="4"/>
        <v>verwacht op 70 jaar en 3 maanden</v>
      </c>
      <c r="E75" s="60">
        <f t="shared" si="5"/>
        <v>65746</v>
      </c>
      <c r="F75" s="58" t="str">
        <f t="shared" si="1"/>
        <v>na 30-09-2009 en voor 01-10-2010</v>
      </c>
      <c r="G75" s="61"/>
      <c r="H75" s="36"/>
    </row>
    <row r="76" spans="1:8" x14ac:dyDescent="0.2">
      <c r="A76" s="56">
        <v>2081</v>
      </c>
      <c r="B76" s="57">
        <f t="shared" si="3"/>
        <v>40452</v>
      </c>
      <c r="C76" s="58">
        <f t="shared" si="2"/>
        <v>843</v>
      </c>
      <c r="D76" s="59" t="str">
        <f t="shared" si="4"/>
        <v>verwacht op 70 jaar en 3 maanden</v>
      </c>
      <c r="E76" s="60">
        <f t="shared" si="5"/>
        <v>66112</v>
      </c>
      <c r="F76" s="58" t="str">
        <f t="shared" si="1"/>
        <v>na 30-09-2010 en voor 01-10-2011</v>
      </c>
      <c r="G76" s="61"/>
      <c r="H76" s="36"/>
    </row>
    <row r="77" spans="1:8" x14ac:dyDescent="0.2">
      <c r="A77" s="56">
        <v>2082</v>
      </c>
      <c r="B77" s="57">
        <f t="shared" si="3"/>
        <v>40817</v>
      </c>
      <c r="C77" s="58">
        <f t="shared" si="2"/>
        <v>843</v>
      </c>
      <c r="D77" s="59" t="str">
        <f t="shared" si="4"/>
        <v>verwacht op 70 jaar en 3 maanden</v>
      </c>
      <c r="E77" s="60">
        <f t="shared" si="5"/>
        <v>66477</v>
      </c>
      <c r="F77" s="58" t="str">
        <f t="shared" si="1"/>
        <v>na 30-09-2011 en voor 01-10-2012</v>
      </c>
      <c r="G77" s="61"/>
      <c r="H77" s="36"/>
    </row>
    <row r="78" spans="1:8" x14ac:dyDescent="0.2">
      <c r="A78" s="56">
        <v>2083</v>
      </c>
      <c r="B78" s="57">
        <f t="shared" si="3"/>
        <v>41183</v>
      </c>
      <c r="C78" s="58">
        <f t="shared" si="2"/>
        <v>843</v>
      </c>
      <c r="D78" s="59" t="str">
        <f t="shared" si="4"/>
        <v>verwacht op 70 jaar en 3 maanden</v>
      </c>
      <c r="E78" s="60">
        <f t="shared" si="5"/>
        <v>66842</v>
      </c>
      <c r="F78" s="58" t="str">
        <f t="shared" si="1"/>
        <v>na 30-09-2012 en voor 01-10-2013</v>
      </c>
      <c r="G78" s="61"/>
      <c r="H78" s="36"/>
    </row>
    <row r="79" spans="1:8" x14ac:dyDescent="0.2">
      <c r="A79" s="56">
        <v>2084</v>
      </c>
      <c r="B79" s="57">
        <f t="shared" si="3"/>
        <v>41548</v>
      </c>
      <c r="C79" s="58">
        <f t="shared" si="2"/>
        <v>843</v>
      </c>
      <c r="D79" s="59" t="str">
        <f t="shared" si="4"/>
        <v>verwacht op 70 jaar en 3 maanden</v>
      </c>
      <c r="E79" s="60">
        <f t="shared" si="5"/>
        <v>67207</v>
      </c>
      <c r="F79" s="58" t="str">
        <f t="shared" si="1"/>
        <v>na 30-09-2013 en voor 01-10-2014</v>
      </c>
      <c r="G79" s="61"/>
      <c r="H79" s="36"/>
    </row>
    <row r="80" spans="1:8" x14ac:dyDescent="0.2">
      <c r="A80" s="56">
        <v>2085</v>
      </c>
      <c r="B80" s="57">
        <f t="shared" si="3"/>
        <v>41913</v>
      </c>
      <c r="C80" s="58">
        <f t="shared" si="2"/>
        <v>843</v>
      </c>
      <c r="D80" s="59" t="str">
        <f t="shared" si="4"/>
        <v>verwacht op 70 jaar en 3 maanden</v>
      </c>
      <c r="E80" s="60">
        <f t="shared" si="5"/>
        <v>67573</v>
      </c>
      <c r="F80" s="58" t="str">
        <f t="shared" si="1"/>
        <v>na 30-09-2014 en voor 01-10-2015</v>
      </c>
      <c r="G80" s="61"/>
      <c r="H80" s="36"/>
    </row>
    <row r="81" spans="1:8" x14ac:dyDescent="0.2">
      <c r="A81" s="56">
        <v>2086</v>
      </c>
      <c r="B81" s="57">
        <f t="shared" si="3"/>
        <v>42278</v>
      </c>
      <c r="C81" s="58">
        <f t="shared" si="2"/>
        <v>843</v>
      </c>
      <c r="D81" s="59" t="str">
        <f t="shared" si="4"/>
        <v>verwacht op 70 jaar en 3 maanden</v>
      </c>
      <c r="E81" s="60">
        <f t="shared" si="5"/>
        <v>67938</v>
      </c>
      <c r="F81" s="58" t="str">
        <f t="shared" si="1"/>
        <v>na 30-09-2015 en voor 01-10-2016</v>
      </c>
      <c r="G81" s="61"/>
      <c r="H81" s="36"/>
    </row>
    <row r="82" spans="1:8" x14ac:dyDescent="0.2">
      <c r="A82" s="56">
        <v>2087</v>
      </c>
      <c r="B82" s="57">
        <f t="shared" si="3"/>
        <v>42644</v>
      </c>
      <c r="C82" s="58">
        <f t="shared" si="2"/>
        <v>843</v>
      </c>
      <c r="D82" s="59" t="str">
        <f t="shared" si="4"/>
        <v>verwacht op 70 jaar en 3 maanden</v>
      </c>
      <c r="E82" s="60">
        <f t="shared" si="5"/>
        <v>68303</v>
      </c>
      <c r="F82" s="58" t="str">
        <f t="shared" si="1"/>
        <v>na 30-09-2016 en voor 01-10-2017</v>
      </c>
      <c r="G82" s="61"/>
      <c r="H82" s="36"/>
    </row>
    <row r="83" spans="1:8" ht="13.5" thickBot="1" x14ac:dyDescent="0.25">
      <c r="A83" s="63">
        <v>2088</v>
      </c>
      <c r="B83" s="64">
        <f t="shared" si="3"/>
        <v>43009</v>
      </c>
      <c r="C83" s="65">
        <f>IF(G83="ja",C82+3,C82)</f>
        <v>843</v>
      </c>
      <c r="D83" s="66" t="str">
        <f>"verwacht op "&amp;ROUNDDOWN(C83/12,0)&amp;" jaar "&amp;IF(MOD(C83,12)&gt;0,"en "&amp;MOD(C83,12)&amp;" maanden","")</f>
        <v>verwacht op 70 jaar en 3 maanden</v>
      </c>
      <c r="E83" s="67">
        <f t="shared" si="5"/>
        <v>68668</v>
      </c>
      <c r="F83" s="65" t="str">
        <f t="shared" si="1"/>
        <v>na 30-09-2017 en voor 00-01-1900</v>
      </c>
      <c r="G83" s="68"/>
      <c r="H83" s="36"/>
    </row>
    <row r="84" spans="1:8" x14ac:dyDescent="0.2">
      <c r="A84" s="36"/>
      <c r="B84" s="36"/>
      <c r="C84" s="36"/>
      <c r="D84" s="36"/>
      <c r="E84" s="36"/>
      <c r="F84" s="36"/>
      <c r="G84" s="36"/>
      <c r="H84" s="36"/>
    </row>
    <row r="85" spans="1:8" x14ac:dyDescent="0.2">
      <c r="A85" s="36"/>
      <c r="B85" s="36"/>
      <c r="C85" s="36"/>
      <c r="D85" s="36"/>
      <c r="E85" s="36"/>
      <c r="F85" s="36"/>
      <c r="G85" s="36"/>
      <c r="H85" s="36"/>
    </row>
    <row r="86" spans="1:8" x14ac:dyDescent="0.2">
      <c r="A86" s="36"/>
      <c r="B86" s="36"/>
      <c r="C86" s="36"/>
      <c r="D86" s="36"/>
      <c r="E86" s="36"/>
      <c r="F86" s="36"/>
      <c r="G86" s="36"/>
      <c r="H86" s="36"/>
    </row>
    <row r="87" spans="1:8" x14ac:dyDescent="0.2">
      <c r="A87" s="36"/>
      <c r="B87" s="36"/>
      <c r="C87" s="36"/>
      <c r="D87" s="36"/>
      <c r="E87" s="36"/>
      <c r="F87" s="36"/>
      <c r="G87" s="36"/>
      <c r="H87" s="36"/>
    </row>
    <row r="88" spans="1:8" x14ac:dyDescent="0.2">
      <c r="A88" s="36"/>
      <c r="B88" s="36"/>
      <c r="C88" s="36"/>
      <c r="D88" s="36"/>
      <c r="E88" s="36"/>
      <c r="F88" s="36"/>
      <c r="G88" s="36"/>
      <c r="H88" s="36"/>
    </row>
    <row r="89" spans="1:8" x14ac:dyDescent="0.2">
      <c r="A89" s="36"/>
      <c r="B89" s="36"/>
      <c r="C89" s="36"/>
      <c r="D89" s="36"/>
      <c r="E89" s="36"/>
      <c r="F89" s="36"/>
      <c r="G89" s="36"/>
      <c r="H89" s="36"/>
    </row>
    <row r="90" spans="1:8" x14ac:dyDescent="0.2">
      <c r="A90" s="36"/>
      <c r="B90" s="36"/>
      <c r="C90" s="36"/>
      <c r="D90" s="36"/>
      <c r="E90" s="36"/>
      <c r="F90" s="36"/>
      <c r="G90" s="36"/>
      <c r="H90" s="36"/>
    </row>
    <row r="91" spans="1:8" x14ac:dyDescent="0.2">
      <c r="A91" s="36"/>
      <c r="B91" s="36"/>
      <c r="C91" s="36"/>
      <c r="D91" s="36"/>
      <c r="E91" s="36"/>
      <c r="F91" s="36"/>
      <c r="G91" s="36"/>
      <c r="H91" s="36"/>
    </row>
    <row r="92" spans="1:8" x14ac:dyDescent="0.2">
      <c r="A92" s="36"/>
      <c r="B92" s="36"/>
      <c r="C92" s="36"/>
      <c r="D92" s="36"/>
      <c r="E92" s="36"/>
      <c r="F92" s="36"/>
      <c r="G92" s="36"/>
      <c r="H92" s="36"/>
    </row>
    <row r="93" spans="1:8" x14ac:dyDescent="0.2">
      <c r="A93" s="36"/>
      <c r="B93" s="36"/>
      <c r="C93" s="36"/>
      <c r="D93" s="36"/>
      <c r="E93" s="36"/>
      <c r="F93" s="36"/>
      <c r="G93" s="36"/>
      <c r="H93" s="36"/>
    </row>
    <row r="94" spans="1:8" x14ac:dyDescent="0.2">
      <c r="A94" s="36"/>
      <c r="B94" s="36"/>
      <c r="C94" s="36"/>
      <c r="D94" s="36"/>
      <c r="E94" s="36"/>
      <c r="F94" s="36"/>
      <c r="G94" s="36"/>
      <c r="H94" s="36"/>
    </row>
    <row r="95" spans="1:8" x14ac:dyDescent="0.2">
      <c r="A95" s="36"/>
      <c r="B95" s="36"/>
      <c r="C95" s="36"/>
      <c r="D95" s="36"/>
      <c r="E95" s="36"/>
      <c r="F95" s="36"/>
      <c r="G95" s="36"/>
      <c r="H95" s="36"/>
    </row>
    <row r="96" spans="1:8" x14ac:dyDescent="0.2">
      <c r="A96" s="36"/>
      <c r="B96" s="36"/>
      <c r="C96" s="36"/>
      <c r="D96" s="36"/>
      <c r="E96" s="36"/>
      <c r="F96" s="41"/>
      <c r="G96" s="36"/>
      <c r="H96" s="36"/>
    </row>
    <row r="97" spans="1:8" x14ac:dyDescent="0.2">
      <c r="A97" s="41"/>
      <c r="B97" s="36"/>
      <c r="C97" s="41"/>
      <c r="D97" s="36"/>
      <c r="E97" s="36"/>
      <c r="F97" s="36"/>
      <c r="G97" s="36"/>
      <c r="H97" s="36"/>
    </row>
    <row r="98" spans="1:8" x14ac:dyDescent="0.2">
      <c r="A98" s="36"/>
      <c r="B98" s="36"/>
      <c r="C98" s="41"/>
      <c r="D98" s="36"/>
      <c r="E98" s="36"/>
      <c r="F98" s="36"/>
      <c r="G98" s="36"/>
      <c r="H98" s="36"/>
    </row>
    <row r="99" spans="1:8" x14ac:dyDescent="0.2">
      <c r="A99" s="36"/>
      <c r="B99" s="36"/>
      <c r="C99" s="36"/>
      <c r="D99" s="36"/>
      <c r="E99" s="36"/>
      <c r="F99" s="36"/>
      <c r="G99" s="36"/>
      <c r="H99" s="36"/>
    </row>
    <row r="100" spans="1:8" x14ac:dyDescent="0.2">
      <c r="A100" s="36"/>
      <c r="B100" s="36"/>
      <c r="C100" s="36"/>
      <c r="D100" s="36"/>
      <c r="E100" s="36"/>
      <c r="F100" s="36"/>
      <c r="G100" s="36"/>
      <c r="H100" s="36"/>
    </row>
    <row r="101" spans="1:8" x14ac:dyDescent="0.2">
      <c r="A101" s="36"/>
      <c r="B101" s="36"/>
      <c r="C101" s="36"/>
      <c r="D101" s="36"/>
      <c r="E101" s="36"/>
      <c r="F101" s="36"/>
      <c r="G101" s="36"/>
      <c r="H101" s="36"/>
    </row>
    <row r="102" spans="1:8" x14ac:dyDescent="0.2">
      <c r="A102" s="36"/>
      <c r="B102" s="36"/>
      <c r="C102" s="36"/>
      <c r="D102" s="36"/>
      <c r="E102" s="36"/>
      <c r="F102" s="36"/>
      <c r="G102" s="36"/>
      <c r="H102" s="36"/>
    </row>
    <row r="103" spans="1:8" x14ac:dyDescent="0.2">
      <c r="A103" s="36"/>
      <c r="B103" s="36"/>
      <c r="C103" s="36"/>
      <c r="D103" s="36"/>
      <c r="E103" s="36"/>
      <c r="F103" s="36"/>
      <c r="G103" s="36"/>
      <c r="H103" s="36"/>
    </row>
    <row r="104" spans="1:8" x14ac:dyDescent="0.2">
      <c r="A104" s="36"/>
      <c r="B104" s="36"/>
      <c r="C104" s="36"/>
      <c r="D104" s="36"/>
      <c r="E104" s="36"/>
      <c r="F104" s="36"/>
      <c r="G104" s="36"/>
      <c r="H104" s="36"/>
    </row>
    <row r="105" spans="1:8" x14ac:dyDescent="0.2">
      <c r="A105" s="36"/>
      <c r="B105" s="36"/>
      <c r="C105" s="36"/>
      <c r="D105" s="36"/>
      <c r="E105" s="36"/>
      <c r="F105" s="36"/>
      <c r="G105" s="36"/>
      <c r="H105" s="36"/>
    </row>
    <row r="106" spans="1:8" x14ac:dyDescent="0.2">
      <c r="A106" s="36"/>
      <c r="B106" s="36"/>
      <c r="C106" s="36"/>
      <c r="D106" s="36"/>
      <c r="E106" s="36"/>
      <c r="F106" s="36"/>
      <c r="G106" s="36"/>
      <c r="H106" s="36"/>
    </row>
    <row r="107" spans="1:8" x14ac:dyDescent="0.2">
      <c r="A107" s="36"/>
      <c r="B107" s="36"/>
      <c r="C107" s="36"/>
      <c r="D107" s="36"/>
      <c r="E107" s="36"/>
      <c r="F107" s="36"/>
      <c r="G107" s="36"/>
      <c r="H107" s="36"/>
    </row>
    <row r="108" spans="1:8" x14ac:dyDescent="0.2">
      <c r="A108" s="36"/>
      <c r="B108" s="36"/>
      <c r="C108" s="36"/>
      <c r="D108" s="36"/>
      <c r="E108" s="36"/>
      <c r="F108" s="36"/>
      <c r="G108" s="36"/>
      <c r="H108" s="36"/>
    </row>
    <row r="109" spans="1:8" x14ac:dyDescent="0.2">
      <c r="H109" s="36"/>
    </row>
    <row r="110" spans="1:8" x14ac:dyDescent="0.2">
      <c r="H110" s="36"/>
    </row>
    <row r="111" spans="1:8" x14ac:dyDescent="0.2">
      <c r="H111" s="36"/>
    </row>
    <row r="112" spans="1:8" x14ac:dyDescent="0.2">
      <c r="H112" s="36"/>
    </row>
    <row r="113" spans="8:8" x14ac:dyDescent="0.2">
      <c r="H113" s="36"/>
    </row>
    <row r="114" spans="8:8" x14ac:dyDescent="0.2">
      <c r="H114" s="36"/>
    </row>
    <row r="115" spans="8:8" x14ac:dyDescent="0.2">
      <c r="H115" s="36"/>
    </row>
    <row r="116" spans="8:8" x14ac:dyDescent="0.2">
      <c r="H116" s="36"/>
    </row>
    <row r="117" spans="8:8" x14ac:dyDescent="0.2">
      <c r="H117" s="36"/>
    </row>
    <row r="118" spans="8:8" x14ac:dyDescent="0.2">
      <c r="H118" s="36"/>
    </row>
    <row r="119" spans="8:8" x14ac:dyDescent="0.2">
      <c r="H119" s="36"/>
    </row>
    <row r="120" spans="8:8" x14ac:dyDescent="0.2">
      <c r="H120" s="36"/>
    </row>
    <row r="121" spans="8:8" x14ac:dyDescent="0.2">
      <c r="H121" s="36"/>
    </row>
    <row r="122" spans="8:8" x14ac:dyDescent="0.2">
      <c r="H122" s="36"/>
    </row>
    <row r="123" spans="8:8" x14ac:dyDescent="0.2">
      <c r="H123" s="36"/>
    </row>
    <row r="124" spans="8:8" x14ac:dyDescent="0.2">
      <c r="H124" s="36"/>
    </row>
    <row r="125" spans="8:8" x14ac:dyDescent="0.2">
      <c r="H125" s="36"/>
    </row>
    <row r="126" spans="8:8" x14ac:dyDescent="0.2">
      <c r="H126" s="36"/>
    </row>
    <row r="127" spans="8:8" x14ac:dyDescent="0.2">
      <c r="H127" s="36"/>
    </row>
    <row r="128" spans="8:8" x14ac:dyDescent="0.2">
      <c r="H128" s="36"/>
    </row>
    <row r="129" spans="8:8" x14ac:dyDescent="0.2">
      <c r="H129" s="36"/>
    </row>
    <row r="130" spans="8:8" x14ac:dyDescent="0.2">
      <c r="H130" s="36"/>
    </row>
    <row r="131" spans="8:8" x14ac:dyDescent="0.2">
      <c r="H131" s="36"/>
    </row>
    <row r="132" spans="8:8" x14ac:dyDescent="0.2">
      <c r="H132" s="36"/>
    </row>
    <row r="133" spans="8:8" x14ac:dyDescent="0.2">
      <c r="H133" s="36"/>
    </row>
    <row r="134" spans="8:8" x14ac:dyDescent="0.2">
      <c r="H134" s="36"/>
    </row>
    <row r="135" spans="8:8" x14ac:dyDescent="0.2">
      <c r="H135" s="36"/>
    </row>
    <row r="136" spans="8:8" x14ac:dyDescent="0.2">
      <c r="H136" s="36"/>
    </row>
    <row r="137" spans="8:8" x14ac:dyDescent="0.2">
      <c r="H137" s="36"/>
    </row>
    <row r="138" spans="8:8" x14ac:dyDescent="0.2">
      <c r="H138" s="36"/>
    </row>
    <row r="139" spans="8:8" x14ac:dyDescent="0.2">
      <c r="H139" s="36"/>
    </row>
    <row r="140" spans="8:8" x14ac:dyDescent="0.2">
      <c r="H140" s="36"/>
    </row>
    <row r="141" spans="8:8" x14ac:dyDescent="0.2">
      <c r="H141" s="36"/>
    </row>
    <row r="142" spans="8:8" x14ac:dyDescent="0.2">
      <c r="H142" s="36"/>
    </row>
    <row r="143" spans="8:8" x14ac:dyDescent="0.2">
      <c r="H143" s="36"/>
    </row>
    <row r="144" spans="8:8" x14ac:dyDescent="0.2">
      <c r="H144" s="36"/>
    </row>
    <row r="145" spans="8:8" x14ac:dyDescent="0.2">
      <c r="H145" s="36"/>
    </row>
  </sheetData>
  <conditionalFormatting sqref="A18:B83">
    <cfRule type="expression" dxfId="0" priority="1">
      <formula>IF($G18="ja",TRUE,FALSE)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523B2-BDCE-415F-9D77-974989003FA9}">
  <sheetPr codeName="Blad6"/>
  <dimension ref="A1:C50"/>
  <sheetViews>
    <sheetView workbookViewId="0">
      <selection activeCell="E30" sqref="E30"/>
    </sheetView>
  </sheetViews>
  <sheetFormatPr defaultRowHeight="12.75" x14ac:dyDescent="0.2"/>
  <sheetData>
    <row r="1" spans="1:3" x14ac:dyDescent="0.2">
      <c r="A1">
        <f>COUNTA(B:B)-COUNTIFS(C:C,"",B:B,"&gt;0")</f>
        <v>5</v>
      </c>
      <c r="B1">
        <v>1</v>
      </c>
      <c r="C1" t="str">
        <f>IFERROR(VLOOKUP(B1,database!A:B,2,0),"")</f>
        <v>Demo</v>
      </c>
    </row>
    <row r="2" spans="1:3" x14ac:dyDescent="0.2">
      <c r="B2">
        <v>2</v>
      </c>
      <c r="C2" t="str">
        <f>IFERROR(VLOOKUP(B2,database!A:B,2,0),"")</f>
        <v>Meander</v>
      </c>
    </row>
    <row r="3" spans="1:3" x14ac:dyDescent="0.2">
      <c r="B3">
        <v>3</v>
      </c>
      <c r="C3" t="str">
        <f>IFERROR(VLOOKUP(B3,database!A:B,2,0),"")</f>
        <v>VLC &amp; Partners</v>
      </c>
    </row>
    <row r="4" spans="1:3" x14ac:dyDescent="0.2">
      <c r="B4">
        <v>4</v>
      </c>
      <c r="C4" t="str">
        <f>IFERROR(VLOOKUP(B4,database!A:B,2,0),"")</f>
        <v>Westenburg</v>
      </c>
    </row>
    <row r="5" spans="1:3" x14ac:dyDescent="0.2">
      <c r="B5">
        <v>5</v>
      </c>
      <c r="C5" t="str">
        <f>IFERROR(VLOOKUP(B5,database!A:B,2,0),"")</f>
        <v>Renewi</v>
      </c>
    </row>
    <row r="6" spans="1:3" x14ac:dyDescent="0.2">
      <c r="B6">
        <v>6</v>
      </c>
      <c r="C6" t="str">
        <f>IFERROR(VLOOKUP(B6,database!A:B,2,0),"")</f>
        <v/>
      </c>
    </row>
    <row r="7" spans="1:3" x14ac:dyDescent="0.2">
      <c r="B7">
        <v>7</v>
      </c>
      <c r="C7" t="str">
        <f>IFERROR(VLOOKUP(B7,database!A:B,2,0),"")</f>
        <v/>
      </c>
    </row>
    <row r="8" spans="1:3" x14ac:dyDescent="0.2">
      <c r="B8">
        <v>8</v>
      </c>
      <c r="C8" t="str">
        <f>IFERROR(VLOOKUP(B8,database!A:B,2,0),"")</f>
        <v/>
      </c>
    </row>
    <row r="9" spans="1:3" x14ac:dyDescent="0.2">
      <c r="B9">
        <v>9</v>
      </c>
      <c r="C9" t="str">
        <f>IFERROR(VLOOKUP(B9,database!A:B,2,0),"")</f>
        <v/>
      </c>
    </row>
    <row r="10" spans="1:3" x14ac:dyDescent="0.2">
      <c r="B10">
        <v>10</v>
      </c>
      <c r="C10" t="str">
        <f>IFERROR(VLOOKUP(B10,database!A:B,2,0),"")</f>
        <v/>
      </c>
    </row>
    <row r="11" spans="1:3" x14ac:dyDescent="0.2">
      <c r="B11">
        <v>11</v>
      </c>
      <c r="C11" t="str">
        <f>IFERROR(VLOOKUP(B11,database!A:B,2,0),"")</f>
        <v/>
      </c>
    </row>
    <row r="12" spans="1:3" x14ac:dyDescent="0.2">
      <c r="B12">
        <v>12</v>
      </c>
      <c r="C12" t="str">
        <f>IFERROR(VLOOKUP(B12,database!A:B,2,0),"")</f>
        <v/>
      </c>
    </row>
    <row r="13" spans="1:3" x14ac:dyDescent="0.2">
      <c r="B13">
        <v>13</v>
      </c>
      <c r="C13" t="str">
        <f>IFERROR(VLOOKUP(B13,database!A:B,2,0),"")</f>
        <v/>
      </c>
    </row>
    <row r="14" spans="1:3" x14ac:dyDescent="0.2">
      <c r="B14">
        <v>14</v>
      </c>
      <c r="C14" t="str">
        <f>IFERROR(VLOOKUP(B14,database!A:B,2,0),"")</f>
        <v/>
      </c>
    </row>
    <row r="15" spans="1:3" x14ac:dyDescent="0.2">
      <c r="B15">
        <v>15</v>
      </c>
      <c r="C15" t="str">
        <f>IFERROR(VLOOKUP(B15,database!A:B,2,0),"")</f>
        <v/>
      </c>
    </row>
    <row r="16" spans="1:3" x14ac:dyDescent="0.2">
      <c r="B16">
        <v>16</v>
      </c>
      <c r="C16" t="str">
        <f>IFERROR(VLOOKUP(B16,database!A:B,2,0),"")</f>
        <v/>
      </c>
    </row>
    <row r="17" spans="2:3" x14ac:dyDescent="0.2">
      <c r="B17">
        <v>17</v>
      </c>
      <c r="C17" t="str">
        <f>IFERROR(VLOOKUP(B17,database!A:B,2,0),"")</f>
        <v/>
      </c>
    </row>
    <row r="18" spans="2:3" x14ac:dyDescent="0.2">
      <c r="B18">
        <v>18</v>
      </c>
      <c r="C18" t="str">
        <f>IFERROR(VLOOKUP(B18,database!A:B,2,0),"")</f>
        <v/>
      </c>
    </row>
    <row r="19" spans="2:3" x14ac:dyDescent="0.2">
      <c r="B19">
        <v>19</v>
      </c>
      <c r="C19" t="str">
        <f>IFERROR(VLOOKUP(B19,database!A:B,2,0),"")</f>
        <v/>
      </c>
    </row>
    <row r="20" spans="2:3" x14ac:dyDescent="0.2">
      <c r="B20">
        <v>20</v>
      </c>
      <c r="C20" t="str">
        <f>IFERROR(VLOOKUP(B20,database!A:B,2,0),"")</f>
        <v/>
      </c>
    </row>
    <row r="21" spans="2:3" x14ac:dyDescent="0.2">
      <c r="B21">
        <v>21</v>
      </c>
      <c r="C21" t="str">
        <f>IFERROR(VLOOKUP(B21,database!A:B,2,0),"")</f>
        <v/>
      </c>
    </row>
    <row r="22" spans="2:3" x14ac:dyDescent="0.2">
      <c r="B22">
        <v>22</v>
      </c>
      <c r="C22" t="str">
        <f>IFERROR(VLOOKUP(B22,database!A:B,2,0),"")</f>
        <v/>
      </c>
    </row>
    <row r="23" spans="2:3" x14ac:dyDescent="0.2">
      <c r="B23">
        <v>23</v>
      </c>
      <c r="C23" t="str">
        <f>IFERROR(VLOOKUP(B23,database!A:B,2,0),"")</f>
        <v/>
      </c>
    </row>
    <row r="24" spans="2:3" x14ac:dyDescent="0.2">
      <c r="B24">
        <v>24</v>
      </c>
      <c r="C24" t="str">
        <f>IFERROR(VLOOKUP(B24,database!A:B,2,0),"")</f>
        <v/>
      </c>
    </row>
    <row r="25" spans="2:3" x14ac:dyDescent="0.2">
      <c r="B25">
        <v>25</v>
      </c>
      <c r="C25" t="str">
        <f>IFERROR(VLOOKUP(B25,database!A:B,2,0),"")</f>
        <v/>
      </c>
    </row>
    <row r="26" spans="2:3" x14ac:dyDescent="0.2">
      <c r="B26">
        <v>26</v>
      </c>
      <c r="C26" t="str">
        <f>IFERROR(VLOOKUP(B26,database!A:B,2,0),"")</f>
        <v/>
      </c>
    </row>
    <row r="27" spans="2:3" x14ac:dyDescent="0.2">
      <c r="B27">
        <v>27</v>
      </c>
      <c r="C27" t="str">
        <f>IFERROR(VLOOKUP(B27,database!A:B,2,0),"")</f>
        <v/>
      </c>
    </row>
    <row r="28" spans="2:3" x14ac:dyDescent="0.2">
      <c r="B28">
        <v>28</v>
      </c>
      <c r="C28" t="str">
        <f>IFERROR(VLOOKUP(B28,database!A:B,2,0),"")</f>
        <v/>
      </c>
    </row>
    <row r="29" spans="2:3" x14ac:dyDescent="0.2">
      <c r="B29">
        <v>29</v>
      </c>
      <c r="C29" t="str">
        <f>IFERROR(VLOOKUP(B29,database!A:B,2,0),"")</f>
        <v/>
      </c>
    </row>
    <row r="30" spans="2:3" x14ac:dyDescent="0.2">
      <c r="B30">
        <v>30</v>
      </c>
      <c r="C30" t="str">
        <f>IFERROR(VLOOKUP(B30,database!A:B,2,0),"")</f>
        <v/>
      </c>
    </row>
    <row r="31" spans="2:3" x14ac:dyDescent="0.2">
      <c r="B31">
        <v>31</v>
      </c>
      <c r="C31" t="str">
        <f>IFERROR(VLOOKUP(B31,database!A:B,2,0),"")</f>
        <v/>
      </c>
    </row>
    <row r="32" spans="2:3" x14ac:dyDescent="0.2">
      <c r="B32">
        <v>32</v>
      </c>
      <c r="C32" t="str">
        <f>IFERROR(VLOOKUP(B32,database!A:B,2,0),"")</f>
        <v/>
      </c>
    </row>
    <row r="33" spans="2:3" x14ac:dyDescent="0.2">
      <c r="B33">
        <v>33</v>
      </c>
      <c r="C33" t="str">
        <f>IFERROR(VLOOKUP(B33,database!A:B,2,0),"")</f>
        <v/>
      </c>
    </row>
    <row r="34" spans="2:3" x14ac:dyDescent="0.2">
      <c r="B34">
        <v>34</v>
      </c>
      <c r="C34" t="str">
        <f>IFERROR(VLOOKUP(B34,database!A:B,2,0),"")</f>
        <v/>
      </c>
    </row>
    <row r="35" spans="2:3" x14ac:dyDescent="0.2">
      <c r="B35">
        <v>35</v>
      </c>
      <c r="C35" t="str">
        <f>IFERROR(VLOOKUP(B35,database!A:B,2,0),"")</f>
        <v/>
      </c>
    </row>
    <row r="36" spans="2:3" x14ac:dyDescent="0.2">
      <c r="B36">
        <v>36</v>
      </c>
      <c r="C36" t="str">
        <f>IFERROR(VLOOKUP(B36,database!A:B,2,0),"")</f>
        <v/>
      </c>
    </row>
    <row r="37" spans="2:3" x14ac:dyDescent="0.2">
      <c r="B37">
        <v>37</v>
      </c>
      <c r="C37" t="str">
        <f>IFERROR(VLOOKUP(B37,database!A:B,2,0),"")</f>
        <v/>
      </c>
    </row>
    <row r="38" spans="2:3" x14ac:dyDescent="0.2">
      <c r="B38">
        <v>38</v>
      </c>
      <c r="C38" t="str">
        <f>IFERROR(VLOOKUP(B38,database!A:B,2,0),"")</f>
        <v/>
      </c>
    </row>
    <row r="39" spans="2:3" x14ac:dyDescent="0.2">
      <c r="B39">
        <v>39</v>
      </c>
      <c r="C39" t="str">
        <f>IFERROR(VLOOKUP(B39,database!A:B,2,0),"")</f>
        <v/>
      </c>
    </row>
    <row r="40" spans="2:3" x14ac:dyDescent="0.2">
      <c r="B40">
        <v>40</v>
      </c>
      <c r="C40" t="str">
        <f>IFERROR(VLOOKUP(B40,database!A:B,2,0),"")</f>
        <v/>
      </c>
    </row>
    <row r="41" spans="2:3" x14ac:dyDescent="0.2">
      <c r="B41">
        <v>41</v>
      </c>
      <c r="C41" t="str">
        <f>IFERROR(VLOOKUP(B41,database!A:B,2,0),"")</f>
        <v/>
      </c>
    </row>
    <row r="42" spans="2:3" x14ac:dyDescent="0.2">
      <c r="B42">
        <v>42</v>
      </c>
      <c r="C42" t="str">
        <f>IFERROR(VLOOKUP(B42,database!A:B,2,0),"")</f>
        <v/>
      </c>
    </row>
    <row r="43" spans="2:3" x14ac:dyDescent="0.2">
      <c r="B43">
        <v>43</v>
      </c>
      <c r="C43" t="str">
        <f>IFERROR(VLOOKUP(B43,database!A:B,2,0),"")</f>
        <v/>
      </c>
    </row>
    <row r="44" spans="2:3" x14ac:dyDescent="0.2">
      <c r="B44">
        <v>44</v>
      </c>
      <c r="C44" t="str">
        <f>IFERROR(VLOOKUP(B44,database!A:B,2,0),"")</f>
        <v/>
      </c>
    </row>
    <row r="45" spans="2:3" x14ac:dyDescent="0.2">
      <c r="B45">
        <v>45</v>
      </c>
      <c r="C45" t="str">
        <f>IFERROR(VLOOKUP(B45,database!A:B,2,0),"")</f>
        <v/>
      </c>
    </row>
    <row r="46" spans="2:3" x14ac:dyDescent="0.2">
      <c r="B46">
        <v>46</v>
      </c>
      <c r="C46" t="str">
        <f>IFERROR(VLOOKUP(B46,database!A:B,2,0),"")</f>
        <v/>
      </c>
    </row>
    <row r="47" spans="2:3" x14ac:dyDescent="0.2">
      <c r="B47">
        <v>47</v>
      </c>
      <c r="C47" t="str">
        <f>IFERROR(VLOOKUP(B47,database!A:B,2,0),"")</f>
        <v/>
      </c>
    </row>
    <row r="48" spans="2:3" x14ac:dyDescent="0.2">
      <c r="B48">
        <v>48</v>
      </c>
      <c r="C48" t="str">
        <f>IFERROR(VLOOKUP(B48,database!A:B,2,0),"")</f>
        <v/>
      </c>
    </row>
    <row r="49" spans="2:3" x14ac:dyDescent="0.2">
      <c r="B49">
        <v>49</v>
      </c>
      <c r="C49" t="str">
        <f>IFERROR(VLOOKUP(B49,database!A:B,2,0),"")</f>
        <v/>
      </c>
    </row>
    <row r="50" spans="2:3" x14ac:dyDescent="0.2">
      <c r="B50">
        <v>50</v>
      </c>
      <c r="C50" t="str">
        <f>IFERROR(VLOOKUP(B50,database!A:B,2,0),"")</f>
        <v/>
      </c>
    </row>
  </sheetData>
  <dataValidations count="1">
    <dataValidation type="list" allowBlank="1" showInputMessage="1" showErrorMessage="1" sqref="G3" xr:uid="{B4A8C4E5-E579-4D2B-8816-33E579CF8E04}">
      <formula1>INDIRECT("$C$1:$C$"&amp;A1)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A14B-A897-4B75-A44B-7B6D8F576C08}">
  <sheetPr codeName="Blad3">
    <pageSetUpPr fitToPage="1"/>
  </sheetPr>
  <dimension ref="A1:W108"/>
  <sheetViews>
    <sheetView showGridLines="0" topLeftCell="A61" workbookViewId="0">
      <selection activeCell="K83" sqref="K83"/>
    </sheetView>
  </sheetViews>
  <sheetFormatPr defaultColWidth="9.140625" defaultRowHeight="15" x14ac:dyDescent="0.3"/>
  <cols>
    <col min="1" max="1" width="9.140625" style="23" customWidth="1"/>
    <col min="2" max="2" width="9.140625" style="23"/>
    <col min="3" max="3" width="2.85546875" style="23" customWidth="1"/>
    <col min="4" max="4" width="25.7109375" style="23" customWidth="1"/>
    <col min="5" max="6" width="2.85546875" style="23" customWidth="1"/>
    <col min="7" max="7" width="25.7109375" style="23" customWidth="1"/>
    <col min="8" max="9" width="2.85546875" style="23" customWidth="1"/>
    <col min="10" max="10" width="25.7109375" style="23" customWidth="1"/>
    <col min="11" max="11" width="10.5703125" style="23" customWidth="1"/>
    <col min="12" max="12" width="1.85546875" style="23" customWidth="1"/>
    <col min="13" max="14" width="9.140625" style="23"/>
    <col min="15" max="15" width="2.85546875" style="23" customWidth="1"/>
    <col min="16" max="16" width="25.7109375" style="23" customWidth="1"/>
    <col min="17" max="18" width="2.85546875" style="23" customWidth="1"/>
    <col min="19" max="19" width="25.7109375" style="23" customWidth="1"/>
    <col min="20" max="21" width="2.85546875" style="23" customWidth="1"/>
    <col min="22" max="22" width="25.7109375" style="23" customWidth="1"/>
    <col min="23" max="23" width="10.5703125" style="23" customWidth="1"/>
    <col min="24" max="16384" width="9.140625" style="23"/>
  </cols>
  <sheetData>
    <row r="1" spans="1:23" ht="70.5" customHeight="1" x14ac:dyDescent="0.3">
      <c r="A1" s="119" t="s">
        <v>79</v>
      </c>
      <c r="B1" s="119"/>
      <c r="C1" s="119"/>
      <c r="D1" s="119"/>
      <c r="M1" s="119" t="s">
        <v>50</v>
      </c>
      <c r="N1" s="119"/>
      <c r="O1" s="119"/>
      <c r="P1" s="119"/>
    </row>
    <row r="4" spans="1:23" ht="45" customHeight="1" x14ac:dyDescent="0.3"/>
    <row r="5" spans="1:23" ht="60" x14ac:dyDescent="0.3">
      <c r="B5" s="24" t="s">
        <v>27</v>
      </c>
      <c r="D5" s="25">
        <v>200000</v>
      </c>
      <c r="G5" s="26" t="str">
        <f>IF(D5&gt;0,"Je premie "&amp;CHAR(10)&amp;"voor deze"&amp;CHAR(10)&amp;"verzekering","")</f>
        <v>Je premie 
voor deze
verzekering</v>
      </c>
      <c r="I5" s="120" t="str">
        <f ca="1">TEXT(OFFSET(database!D2,Grafiekblad!$A$8-2,0)/12,"€ 0,00")&amp;" bruto per maand. "&amp;CHAR(10)&amp;TEXT(OFFSET(database!D2,Grafiekblad!$A$8-2,0),"(€ 0,00")&amp;" bruto per jaar)"</f>
        <v>€ 25,20 bruto per maand. 
(€ 302,40 bruto per jaar)</v>
      </c>
      <c r="J5" s="121"/>
      <c r="N5" s="24" t="s">
        <v>27</v>
      </c>
      <c r="P5" s="25">
        <v>200000</v>
      </c>
      <c r="S5" s="26" t="str">
        <f>IF(P5&gt;0,"Je premie "&amp;CHAR(10)&amp;"voor deze"&amp;CHAR(10)&amp;"verzekering","")</f>
        <v>Je premie 
voor deze
verzekering</v>
      </c>
      <c r="U5" s="120" t="e">
        <f ca="1">TEXT(OFFSET(database!S2,Grafiekblad!$A$8-2,0)/12,"€ 0,00")&amp;" bruto per maand. "&amp;CHAR(10)&amp;TEXT(OFFSET(database!S2,Grafiekblad!$A$8-2,0),"(€ 0,00")&amp;" bruto per jaar)"</f>
        <v>#VALUE!</v>
      </c>
      <c r="V5" s="121"/>
    </row>
    <row r="6" spans="1:23" x14ac:dyDescent="0.3">
      <c r="B6" s="27"/>
      <c r="N6" s="27"/>
    </row>
    <row r="7" spans="1:23" ht="6.75" customHeight="1" x14ac:dyDescent="0.3">
      <c r="A7" s="28"/>
      <c r="B7" s="29"/>
      <c r="C7" s="28"/>
      <c r="D7" s="28"/>
      <c r="E7" s="28"/>
      <c r="F7" s="28"/>
      <c r="G7" s="28"/>
      <c r="H7" s="28"/>
      <c r="I7" s="28"/>
      <c r="J7" s="28"/>
      <c r="K7" s="28"/>
      <c r="M7" s="28"/>
      <c r="N7" s="29"/>
      <c r="O7" s="28"/>
      <c r="P7" s="28"/>
      <c r="Q7" s="28"/>
      <c r="R7" s="28"/>
      <c r="S7" s="28"/>
      <c r="T7" s="28"/>
      <c r="U7" s="28"/>
      <c r="V7" s="28"/>
      <c r="W7" s="28"/>
    </row>
    <row r="8" spans="1:23" x14ac:dyDescent="0.3">
      <c r="B8" s="27"/>
      <c r="N8" s="27"/>
    </row>
    <row r="9" spans="1:23" x14ac:dyDescent="0.3">
      <c r="B9" s="27"/>
      <c r="N9" s="27"/>
    </row>
    <row r="10" spans="1:23" ht="28.5" customHeight="1" x14ac:dyDescent="0.3">
      <c r="B10" s="122" t="s">
        <v>28</v>
      </c>
      <c r="C10" s="122"/>
      <c r="D10" s="122"/>
      <c r="E10" s="122"/>
      <c r="F10" s="122"/>
      <c r="G10" s="122"/>
      <c r="H10" s="122"/>
      <c r="I10" s="122"/>
      <c r="J10" s="122"/>
      <c r="N10" s="122" t="s">
        <v>28</v>
      </c>
      <c r="O10" s="122"/>
      <c r="P10" s="122"/>
      <c r="Q10" s="122"/>
      <c r="R10" s="122"/>
      <c r="S10" s="122"/>
      <c r="T10" s="122"/>
      <c r="U10" s="122"/>
      <c r="V10" s="122"/>
    </row>
    <row r="11" spans="1:23" ht="59.25" customHeight="1" x14ac:dyDescent="0.3">
      <c r="B11" s="123" t="s">
        <v>33</v>
      </c>
      <c r="C11" s="123"/>
      <c r="D11" s="123"/>
      <c r="E11" s="123"/>
      <c r="F11" s="123"/>
      <c r="G11" s="123"/>
      <c r="H11" s="123"/>
      <c r="I11" s="123"/>
      <c r="J11" s="123"/>
      <c r="N11" s="123" t="s">
        <v>33</v>
      </c>
      <c r="O11" s="123"/>
      <c r="P11" s="123"/>
      <c r="Q11" s="123"/>
      <c r="R11" s="123"/>
      <c r="S11" s="123"/>
      <c r="T11" s="123"/>
      <c r="U11" s="123"/>
      <c r="V11" s="123"/>
    </row>
    <row r="12" spans="1:23" ht="5.25" customHeight="1" x14ac:dyDescent="0.3">
      <c r="B12" s="27"/>
      <c r="N12" s="27"/>
    </row>
    <row r="13" spans="1:23" ht="17.25" x14ac:dyDescent="0.3">
      <c r="B13" s="27"/>
      <c r="D13" s="30" t="s">
        <v>29</v>
      </c>
      <c r="N13" s="27"/>
      <c r="P13" s="30" t="s">
        <v>29</v>
      </c>
    </row>
    <row r="14" spans="1:23" ht="14.25" customHeight="1" x14ac:dyDescent="0.3">
      <c r="D14" s="118" t="s">
        <v>34</v>
      </c>
      <c r="E14" s="118"/>
      <c r="F14" s="118"/>
      <c r="G14" s="118"/>
      <c r="H14" s="118"/>
      <c r="I14" s="118"/>
      <c r="J14" s="118"/>
      <c r="P14" s="118" t="s">
        <v>34</v>
      </c>
      <c r="Q14" s="118"/>
      <c r="R14" s="118"/>
      <c r="S14" s="118"/>
      <c r="T14" s="118"/>
      <c r="U14" s="118"/>
      <c r="V14" s="118"/>
    </row>
    <row r="15" spans="1:23" ht="14.25" customHeight="1" x14ac:dyDescent="0.3">
      <c r="D15" s="118"/>
      <c r="E15" s="118"/>
      <c r="F15" s="118"/>
      <c r="G15" s="118"/>
      <c r="H15" s="118"/>
      <c r="I15" s="118"/>
      <c r="J15" s="118"/>
      <c r="P15" s="118"/>
      <c r="Q15" s="118"/>
      <c r="R15" s="118"/>
      <c r="S15" s="118"/>
      <c r="T15" s="118"/>
      <c r="U15" s="118"/>
      <c r="V15" s="118"/>
    </row>
    <row r="16" spans="1:23" ht="14.25" customHeight="1" x14ac:dyDescent="0.3">
      <c r="D16" s="117" t="str">
        <f ca="1">IF(D5=0,"","De verzekering via Loyalis vult je inkomen aan tot "&amp;TEXT(SUM(Grafiekblad!N16:Q16),"##%")&amp;" van je oude loon. Zonder deze verzekering kom je uit op "&amp;TEXT(SUM(Grafiekblad!N16:P16),"##%")&amp;" van je oude loon")</f>
        <v>De verzekering via Loyalis vult je inkomen aan tot 70% van je oude loon. Zonder deze verzekering kom je uit op 70% van je oude loon</v>
      </c>
      <c r="E16" s="117"/>
      <c r="F16" s="117"/>
      <c r="G16" s="117"/>
      <c r="H16" s="117"/>
      <c r="I16" s="117"/>
      <c r="J16" s="117"/>
      <c r="P16" s="117" t="str">
        <f ca="1">IF(P5=0,"","De verzekering via Loyalis vult je inkomen aan tot "&amp;TEXT(SUM(Grafiekblad!Z16:AC16),"##%")&amp;" van je oude loon. Zonder deze verzekering kom je uit op "&amp;TEXT(SUM(Grafiekblad!Z16:AB16),"##%")&amp;" van je oude loon")</f>
        <v>De verzekering via Loyalis vult je inkomen aan tot % van je oude loon. Zonder deze verzekering kom je uit op % van je oude loon</v>
      </c>
      <c r="Q16" s="117"/>
      <c r="R16" s="117"/>
      <c r="S16" s="117"/>
      <c r="T16" s="117"/>
      <c r="U16" s="117"/>
      <c r="V16" s="117"/>
    </row>
    <row r="17" spans="4:22" ht="14.25" customHeight="1" x14ac:dyDescent="0.3">
      <c r="D17" s="117"/>
      <c r="E17" s="117"/>
      <c r="F17" s="117"/>
      <c r="G17" s="117"/>
      <c r="H17" s="117"/>
      <c r="I17" s="117"/>
      <c r="J17" s="117"/>
      <c r="P17" s="117"/>
      <c r="Q17" s="117"/>
      <c r="R17" s="117"/>
      <c r="S17" s="117"/>
      <c r="T17" s="117"/>
      <c r="U17" s="117"/>
      <c r="V17" s="117"/>
    </row>
    <row r="40" spans="2:22" x14ac:dyDescent="0.3">
      <c r="C40" s="28"/>
      <c r="D40" s="23" t="s">
        <v>23</v>
      </c>
      <c r="F40" s="31"/>
      <c r="G40" s="23" t="s">
        <v>16</v>
      </c>
      <c r="I40" s="32"/>
      <c r="J40" s="23" t="s">
        <v>26</v>
      </c>
      <c r="O40" s="28"/>
      <c r="P40" s="23" t="s">
        <v>23</v>
      </c>
      <c r="R40" s="31"/>
      <c r="S40" s="23" t="s">
        <v>16</v>
      </c>
      <c r="U40" s="32"/>
      <c r="V40" s="23" t="s">
        <v>26</v>
      </c>
    </row>
    <row r="42" spans="2:22" x14ac:dyDescent="0.3">
      <c r="C42" s="33"/>
      <c r="D42" s="23" t="s">
        <v>10</v>
      </c>
      <c r="F42" s="34"/>
      <c r="G42" s="23" t="s">
        <v>25</v>
      </c>
      <c r="O42" s="33"/>
      <c r="P42" s="23" t="s">
        <v>10</v>
      </c>
      <c r="R42" s="34"/>
      <c r="S42" s="23" t="s">
        <v>25</v>
      </c>
    </row>
    <row r="45" spans="2:22" ht="17.25" x14ac:dyDescent="0.3">
      <c r="B45" s="27"/>
      <c r="D45" s="30" t="s">
        <v>30</v>
      </c>
      <c r="N45" s="27"/>
      <c r="P45" s="30" t="s">
        <v>30</v>
      </c>
    </row>
    <row r="46" spans="2:22" ht="14.25" customHeight="1" x14ac:dyDescent="0.3">
      <c r="D46" s="118" t="s">
        <v>35</v>
      </c>
      <c r="E46" s="118"/>
      <c r="F46" s="118"/>
      <c r="G46" s="118"/>
      <c r="H46" s="118"/>
      <c r="I46" s="118"/>
      <c r="J46" s="118"/>
      <c r="P46" s="118" t="s">
        <v>35</v>
      </c>
      <c r="Q46" s="118"/>
      <c r="R46" s="118"/>
      <c r="S46" s="118"/>
      <c r="T46" s="118"/>
      <c r="U46" s="118"/>
      <c r="V46" s="118"/>
    </row>
    <row r="47" spans="2:22" ht="14.25" customHeight="1" x14ac:dyDescent="0.3">
      <c r="D47" s="118"/>
      <c r="E47" s="118"/>
      <c r="F47" s="118"/>
      <c r="G47" s="118"/>
      <c r="H47" s="118"/>
      <c r="I47" s="118"/>
      <c r="J47" s="118"/>
      <c r="P47" s="118"/>
      <c r="Q47" s="118"/>
      <c r="R47" s="118"/>
      <c r="S47" s="118"/>
      <c r="T47" s="118"/>
      <c r="U47" s="118"/>
      <c r="V47" s="118"/>
    </row>
    <row r="48" spans="2:22" ht="14.25" customHeight="1" x14ac:dyDescent="0.3">
      <c r="D48" s="118"/>
      <c r="E48" s="118"/>
      <c r="F48" s="118"/>
      <c r="G48" s="118"/>
      <c r="H48" s="118"/>
      <c r="I48" s="118"/>
      <c r="J48" s="118"/>
      <c r="P48" s="118"/>
      <c r="Q48" s="118"/>
      <c r="R48" s="118"/>
      <c r="S48" s="118"/>
      <c r="T48" s="118"/>
      <c r="U48" s="118"/>
      <c r="V48" s="118"/>
    </row>
    <row r="49" spans="4:22" ht="14.25" customHeight="1" x14ac:dyDescent="0.3">
      <c r="D49" s="117" t="str">
        <f ca="1">IF(D5=0,"","De verzekering via Loyalis vult je inkomen dan aan tot "&amp;TEXT(SUM(Grafiekblad!N37:Q37),"##%")&amp;" van je oude loon. Zonder deze verzekering kom je uit op "&amp;TEXT(SUM(Grafiekblad!N37:P37),"##%")&amp;" van je oude loon")</f>
        <v>De verzekering via Loyalis vult je inkomen dan aan tot 83% van je oude loon. Zonder deze verzekering kom je uit op 83% van je oude loon</v>
      </c>
      <c r="E49" s="117"/>
      <c r="F49" s="117"/>
      <c r="G49" s="117"/>
      <c r="H49" s="117"/>
      <c r="I49" s="117"/>
      <c r="J49" s="117"/>
      <c r="P49" s="117" t="str">
        <f ca="1">IF(P5=0,"","De verzekering via Loyalis vult je inkomen dan aan tot "&amp;TEXT(SUM(Grafiekblad!Z37:AC37),"##%")&amp;" van je oude loon. Zonder deze verzekering kom je uit op "&amp;TEXT(SUM(Grafiekblad!Z37:AB37),"##%")&amp;" van je oude loon")</f>
        <v>De verzekering via Loyalis vult je inkomen dan aan tot 25% van je oude loon. Zonder deze verzekering kom je uit op % van je oude loon</v>
      </c>
      <c r="Q49" s="117"/>
      <c r="R49" s="117"/>
      <c r="S49" s="117"/>
      <c r="T49" s="117"/>
      <c r="U49" s="117"/>
      <c r="V49" s="117"/>
    </row>
    <row r="50" spans="4:22" ht="14.25" customHeight="1" x14ac:dyDescent="0.3">
      <c r="D50" s="117"/>
      <c r="E50" s="117"/>
      <c r="F50" s="117"/>
      <c r="G50" s="117"/>
      <c r="H50" s="117"/>
      <c r="I50" s="117"/>
      <c r="J50" s="117"/>
      <c r="P50" s="117"/>
      <c r="Q50" s="117"/>
      <c r="R50" s="117"/>
      <c r="S50" s="117"/>
      <c r="T50" s="117"/>
      <c r="U50" s="117"/>
      <c r="V50" s="117"/>
    </row>
    <row r="73" spans="2:22" x14ac:dyDescent="0.3">
      <c r="C73" s="28"/>
      <c r="D73" s="23" t="s">
        <v>23</v>
      </c>
      <c r="F73" s="31"/>
      <c r="G73" s="23" t="s">
        <v>16</v>
      </c>
      <c r="I73" s="32"/>
      <c r="J73" s="23" t="s">
        <v>26</v>
      </c>
      <c r="O73" s="28"/>
      <c r="P73" s="23" t="s">
        <v>23</v>
      </c>
      <c r="R73" s="31"/>
      <c r="S73" s="23" t="s">
        <v>16</v>
      </c>
      <c r="U73" s="32"/>
      <c r="V73" s="23" t="s">
        <v>26</v>
      </c>
    </row>
    <row r="75" spans="2:22" x14ac:dyDescent="0.3">
      <c r="C75" s="33"/>
      <c r="D75" s="23" t="s">
        <v>10</v>
      </c>
      <c r="F75" s="34"/>
      <c r="G75" s="23" t="s">
        <v>25</v>
      </c>
      <c r="O75" s="33"/>
      <c r="P75" s="23" t="s">
        <v>10</v>
      </c>
      <c r="R75" s="34"/>
      <c r="S75" s="23" t="s">
        <v>25</v>
      </c>
    </row>
    <row r="79" spans="2:22" ht="17.25" x14ac:dyDescent="0.3">
      <c r="B79" s="27"/>
      <c r="D79" s="30" t="s">
        <v>31</v>
      </c>
      <c r="N79" s="27"/>
      <c r="P79" s="30" t="s">
        <v>31</v>
      </c>
    </row>
    <row r="80" spans="2:22" ht="14.25" customHeight="1" x14ac:dyDescent="0.3">
      <c r="D80" s="118" t="s">
        <v>36</v>
      </c>
      <c r="E80" s="118"/>
      <c r="F80" s="118"/>
      <c r="G80" s="118"/>
      <c r="H80" s="118"/>
      <c r="I80" s="118"/>
      <c r="J80" s="118"/>
      <c r="P80" s="118" t="s">
        <v>36</v>
      </c>
      <c r="Q80" s="118"/>
      <c r="R80" s="118"/>
      <c r="S80" s="118"/>
      <c r="T80" s="118"/>
      <c r="U80" s="118"/>
      <c r="V80" s="118"/>
    </row>
    <row r="81" spans="4:22" ht="14.25" customHeight="1" x14ac:dyDescent="0.3">
      <c r="D81" s="117" t="str">
        <f ca="1">IF(D5=0,"","De verzekering via Loyalis hoeft in deze situatie niet uit te keren omdat je met de uitkering vanuit de overheid "&amp;IF(Grafiekblad!P58&gt;0,"en de aanvulling vanuit het pensioenfonds ","")&amp;"al tot een inkomen komt van "&amp;TEXT(SUM(Grafiekblad!N58:P58),"##%")&amp;" van je oude loon.")</f>
        <v>De verzekering via Loyalis hoeft in deze situatie niet uit te keren omdat je met de uitkering vanuit de overheid al tot een inkomen komt van 70% van je oude loon.</v>
      </c>
      <c r="E81" s="117"/>
      <c r="F81" s="117"/>
      <c r="G81" s="117"/>
      <c r="H81" s="117"/>
      <c r="I81" s="117"/>
      <c r="J81" s="117"/>
      <c r="P81" s="117" t="str">
        <f>IF(P5=0,"","De verzekering via Loyalis hoeft in deze situatie niet uit te keren omdat je met de uitkering vanuit de overheid "&amp;IF(Grafiekblad!AB58&gt;0,"en de aanvulling vanuit het pensioenfonds ","")&amp;"al tot een inkomen komt van "&amp;TEXT(SUM(Grafiekblad!Z58:AB58),"##%")&amp;" van je oude loon.")</f>
        <v>De verzekering via Loyalis hoeft in deze situatie niet uit te keren omdat je met de uitkering vanuit de overheid al tot een inkomen komt van % van je oude loon.</v>
      </c>
      <c r="Q81" s="117"/>
      <c r="R81" s="117"/>
      <c r="S81" s="117"/>
      <c r="T81" s="117"/>
      <c r="U81" s="117"/>
      <c r="V81" s="117"/>
    </row>
    <row r="82" spans="4:22" ht="14.25" customHeight="1" x14ac:dyDescent="0.3">
      <c r="D82" s="117"/>
      <c r="E82" s="117"/>
      <c r="F82" s="117"/>
      <c r="G82" s="117"/>
      <c r="H82" s="117"/>
      <c r="I82" s="117"/>
      <c r="J82" s="117"/>
      <c r="P82" s="117"/>
      <c r="Q82" s="117"/>
      <c r="R82" s="117"/>
      <c r="S82" s="117"/>
      <c r="T82" s="117"/>
      <c r="U82" s="117"/>
      <c r="V82" s="117"/>
    </row>
    <row r="83" spans="4:22" ht="14.25" customHeight="1" x14ac:dyDescent="0.3">
      <c r="D83" s="117"/>
      <c r="E83" s="117"/>
      <c r="F83" s="117"/>
      <c r="G83" s="117"/>
      <c r="H83" s="117"/>
      <c r="I83" s="117"/>
      <c r="J83" s="117"/>
      <c r="P83" s="117"/>
      <c r="Q83" s="117"/>
      <c r="R83" s="117"/>
      <c r="S83" s="117"/>
      <c r="T83" s="117"/>
      <c r="U83" s="117"/>
      <c r="V83" s="117"/>
    </row>
    <row r="106" spans="3:22" x14ac:dyDescent="0.3">
      <c r="C106" s="28"/>
      <c r="D106" s="23" t="s">
        <v>23</v>
      </c>
      <c r="F106" s="31"/>
      <c r="G106" s="23" t="s">
        <v>16</v>
      </c>
      <c r="I106" s="32"/>
      <c r="J106" s="23" t="s">
        <v>26</v>
      </c>
      <c r="O106" s="28"/>
      <c r="P106" s="23" t="s">
        <v>23</v>
      </c>
      <c r="R106" s="31"/>
      <c r="S106" s="23" t="s">
        <v>16</v>
      </c>
      <c r="U106" s="32"/>
      <c r="V106" s="23" t="s">
        <v>26</v>
      </c>
    </row>
    <row r="108" spans="3:22" x14ac:dyDescent="0.3">
      <c r="C108" s="33"/>
      <c r="D108" s="23" t="s">
        <v>10</v>
      </c>
      <c r="F108" s="34"/>
      <c r="G108" s="23" t="s">
        <v>25</v>
      </c>
      <c r="O108" s="33"/>
      <c r="P108" s="23" t="s">
        <v>10</v>
      </c>
      <c r="R108" s="34"/>
      <c r="S108" s="23" t="s">
        <v>25</v>
      </c>
    </row>
  </sheetData>
  <sheetProtection selectLockedCells="1"/>
  <mergeCells count="20">
    <mergeCell ref="A1:D1"/>
    <mergeCell ref="D81:J83"/>
    <mergeCell ref="I5:J5"/>
    <mergeCell ref="B10:J10"/>
    <mergeCell ref="D16:J17"/>
    <mergeCell ref="D49:J50"/>
    <mergeCell ref="D80:J80"/>
    <mergeCell ref="B11:J11"/>
    <mergeCell ref="D14:J15"/>
    <mergeCell ref="D46:J48"/>
    <mergeCell ref="M1:P1"/>
    <mergeCell ref="U5:V5"/>
    <mergeCell ref="N10:V10"/>
    <mergeCell ref="N11:V11"/>
    <mergeCell ref="P14:V15"/>
    <mergeCell ref="P16:V17"/>
    <mergeCell ref="P46:V48"/>
    <mergeCell ref="P49:V50"/>
    <mergeCell ref="P80:V80"/>
    <mergeCell ref="P81:V83"/>
  </mergeCells>
  <pageMargins left="0.25" right="0.25" top="0.75" bottom="0.75" header="0.3" footer="0.3"/>
  <pageSetup paperSize="9" scale="83" fitToHeight="0" orientation="portrait" r:id="rId1"/>
  <rowBreaks count="1" manualBreakCount="1">
    <brk id="4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EAAC8F1-BBDB-49E3-9D82-DC1CC55421FA}">
          <x14:formula1>
            <xm:f>INDIRECT("Lijst!$C$1:$C$"&amp;Lijst!A1)</xm:f>
          </x14:formula1>
          <xm:sqref>A1:D1 M1:P1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CF49-B20B-4BE6-9EC8-0C47EB6B70A6}">
  <sheetPr codeName="Blad7">
    <pageSetUpPr fitToPage="1"/>
  </sheetPr>
  <dimension ref="A1:U271"/>
  <sheetViews>
    <sheetView showGridLines="0" showRowColHeaders="0" tabSelected="1" showRuler="0" view="pageLayout" zoomScaleNormal="100" zoomScaleSheetLayoutView="115" workbookViewId="0">
      <selection activeCell="F37" sqref="F37:H39"/>
    </sheetView>
  </sheetViews>
  <sheetFormatPr defaultColWidth="0" defaultRowHeight="12.75" zeroHeight="1" x14ac:dyDescent="0.2"/>
  <cols>
    <col min="1" max="1" width="4.140625" style="71" customWidth="1"/>
    <col min="2" max="7" width="9.140625" style="71" customWidth="1"/>
    <col min="8" max="8" width="12.28515625" style="71" bestFit="1" customWidth="1"/>
    <col min="9" max="19" width="9.140625" style="71" customWidth="1"/>
    <col min="20" max="20" width="14.140625" style="71" customWidth="1"/>
    <col min="21" max="21" width="10.28515625" style="71" customWidth="1"/>
    <col min="22" max="16384" width="9.140625" style="71" hidden="1"/>
  </cols>
  <sheetData>
    <row r="1" spans="1:20" x14ac:dyDescent="0.2">
      <c r="A1" s="70"/>
      <c r="B1" s="70"/>
      <c r="C1" s="70"/>
      <c r="D1" s="70"/>
      <c r="E1" s="70"/>
      <c r="F1" s="70"/>
      <c r="G1" s="70"/>
      <c r="H1" s="70"/>
      <c r="I1" s="70"/>
      <c r="J1" s="70"/>
      <c r="K1" s="70"/>
      <c r="L1" s="70"/>
      <c r="M1" s="70"/>
      <c r="N1" s="70"/>
      <c r="O1" s="70"/>
      <c r="P1" s="70"/>
      <c r="Q1" s="70"/>
      <c r="R1" s="70"/>
      <c r="S1" s="70"/>
      <c r="T1" s="70"/>
    </row>
    <row r="2" spans="1:20" x14ac:dyDescent="0.2">
      <c r="A2" s="70"/>
      <c r="B2" s="70"/>
      <c r="C2" s="70"/>
      <c r="D2" s="70"/>
      <c r="E2" s="70"/>
      <c r="F2" s="70"/>
      <c r="G2" s="70"/>
      <c r="H2" s="70"/>
      <c r="I2" s="70"/>
      <c r="J2" s="70"/>
      <c r="K2" s="70"/>
      <c r="L2" s="70"/>
      <c r="M2" s="70"/>
      <c r="N2" s="70"/>
      <c r="O2" s="70"/>
      <c r="P2" s="70"/>
      <c r="Q2" s="70"/>
      <c r="R2" s="70"/>
      <c r="S2" s="70"/>
      <c r="T2" s="70"/>
    </row>
    <row r="3" spans="1:20" x14ac:dyDescent="0.2">
      <c r="A3" s="70"/>
      <c r="B3" s="70"/>
      <c r="C3" s="70"/>
      <c r="D3" s="70"/>
      <c r="E3" s="70"/>
      <c r="F3" s="70"/>
      <c r="G3" s="70"/>
      <c r="H3" s="70"/>
      <c r="I3" s="70"/>
      <c r="J3" s="70"/>
      <c r="K3" s="70"/>
      <c r="L3" s="70"/>
      <c r="M3" s="70"/>
      <c r="N3" s="70"/>
      <c r="O3" s="70"/>
      <c r="P3" s="70"/>
      <c r="Q3" s="70"/>
      <c r="R3" s="70"/>
      <c r="S3" s="70"/>
      <c r="T3" s="70"/>
    </row>
    <row r="4" spans="1:20" x14ac:dyDescent="0.2">
      <c r="A4" s="70"/>
      <c r="B4" s="70"/>
      <c r="C4" s="70"/>
      <c r="D4" s="70"/>
      <c r="E4" s="70"/>
      <c r="F4" s="70"/>
      <c r="G4" s="70"/>
      <c r="H4" s="70"/>
      <c r="I4" s="70"/>
      <c r="J4" s="70"/>
      <c r="K4" s="70"/>
      <c r="L4" s="70"/>
      <c r="M4" s="70"/>
      <c r="N4" s="70"/>
      <c r="O4" s="70"/>
      <c r="P4" s="70"/>
      <c r="Q4" s="70"/>
      <c r="R4" s="70"/>
      <c r="S4" s="70"/>
      <c r="T4" s="70"/>
    </row>
    <row r="5" spans="1:20" x14ac:dyDescent="0.2">
      <c r="A5" s="70"/>
      <c r="B5" s="70"/>
      <c r="C5" s="70"/>
      <c r="D5" s="70"/>
      <c r="E5" s="70"/>
      <c r="F5" s="70"/>
      <c r="G5" s="70"/>
      <c r="H5" s="70"/>
      <c r="I5" s="70"/>
      <c r="J5" s="70"/>
      <c r="K5" s="70"/>
      <c r="L5" s="70"/>
      <c r="M5" s="70"/>
      <c r="N5" s="70"/>
      <c r="O5" s="70"/>
      <c r="P5" s="70"/>
      <c r="Q5" s="70"/>
      <c r="R5" s="70"/>
      <c r="S5" s="70"/>
      <c r="T5" s="70"/>
    </row>
    <row r="6" spans="1:20" x14ac:dyDescent="0.2">
      <c r="A6" s="70"/>
      <c r="B6" s="70"/>
      <c r="C6" s="70"/>
      <c r="D6" s="70"/>
      <c r="E6" s="70"/>
      <c r="F6" s="70"/>
      <c r="G6" s="70"/>
      <c r="H6" s="70"/>
      <c r="I6" s="70"/>
      <c r="J6" s="70"/>
      <c r="K6" s="70"/>
      <c r="L6" s="70"/>
      <c r="M6" s="70"/>
      <c r="N6" s="70"/>
      <c r="O6" s="70"/>
      <c r="P6" s="70"/>
      <c r="Q6" s="70"/>
      <c r="R6" s="70"/>
      <c r="S6" s="70"/>
      <c r="T6" s="70"/>
    </row>
    <row r="7" spans="1:20" x14ac:dyDescent="0.2">
      <c r="A7" s="70"/>
      <c r="B7" s="70"/>
      <c r="C7" s="70"/>
      <c r="D7" s="70"/>
      <c r="E7" s="70"/>
      <c r="F7" s="70"/>
      <c r="G7" s="70"/>
      <c r="H7" s="70"/>
      <c r="I7" s="70"/>
      <c r="J7" s="70"/>
      <c r="K7" s="70"/>
      <c r="L7" s="70"/>
      <c r="M7" s="70"/>
      <c r="N7" s="70"/>
      <c r="O7" s="70"/>
      <c r="P7" s="70"/>
      <c r="Q7" s="70"/>
      <c r="R7" s="70"/>
      <c r="S7" s="70"/>
      <c r="T7" s="70"/>
    </row>
    <row r="8" spans="1:20" x14ac:dyDescent="0.2">
      <c r="A8" s="70"/>
      <c r="B8" s="70"/>
      <c r="C8" s="70"/>
      <c r="D8" s="70"/>
      <c r="E8" s="70"/>
      <c r="F8" s="70"/>
      <c r="G8" s="70"/>
      <c r="H8" s="70"/>
      <c r="I8" s="70"/>
      <c r="J8" s="70"/>
      <c r="K8" s="70"/>
      <c r="L8" s="70"/>
      <c r="M8" s="70"/>
      <c r="N8" s="70"/>
      <c r="O8" s="70"/>
      <c r="P8" s="70"/>
      <c r="Q8" s="70"/>
      <c r="R8" s="70"/>
      <c r="S8" s="70"/>
      <c r="T8" s="70"/>
    </row>
    <row r="9" spans="1:20" x14ac:dyDescent="0.2">
      <c r="A9" s="70"/>
      <c r="B9" s="70"/>
      <c r="C9" s="70"/>
      <c r="D9" s="70"/>
      <c r="E9" s="70"/>
      <c r="F9" s="70"/>
      <c r="G9" s="70"/>
      <c r="H9" s="70"/>
      <c r="I9" s="70"/>
      <c r="J9" s="70"/>
      <c r="K9" s="70"/>
      <c r="L9" s="70"/>
      <c r="M9" s="70"/>
      <c r="N9" s="70"/>
      <c r="O9" s="70"/>
      <c r="P9" s="70"/>
      <c r="Q9" s="70"/>
      <c r="R9" s="70"/>
      <c r="S9" s="70"/>
      <c r="T9" s="70"/>
    </row>
    <row r="10" spans="1:20" x14ac:dyDescent="0.2">
      <c r="A10" s="70"/>
      <c r="B10" s="70"/>
      <c r="C10" s="70"/>
      <c r="D10" s="70"/>
      <c r="E10" s="70"/>
      <c r="F10" s="70"/>
      <c r="G10" s="70"/>
      <c r="H10" s="70"/>
      <c r="I10" s="70"/>
      <c r="J10" s="70"/>
      <c r="K10" s="70"/>
      <c r="L10" s="70"/>
      <c r="M10" s="70"/>
      <c r="N10" s="70"/>
      <c r="O10" s="70"/>
      <c r="P10" s="70"/>
      <c r="Q10" s="70"/>
      <c r="R10" s="70"/>
      <c r="S10" s="70"/>
      <c r="T10" s="70"/>
    </row>
    <row r="11" spans="1:20" x14ac:dyDescent="0.2">
      <c r="A11" s="70"/>
      <c r="B11" s="70"/>
      <c r="C11" s="70"/>
      <c r="D11" s="70"/>
      <c r="E11" s="70"/>
      <c r="F11" s="70"/>
      <c r="G11" s="70"/>
      <c r="H11" s="70"/>
      <c r="I11" s="70"/>
      <c r="J11" s="70"/>
      <c r="K11" s="70"/>
      <c r="L11" s="70"/>
      <c r="M11" s="70"/>
      <c r="N11" s="70"/>
      <c r="O11" s="70"/>
      <c r="P11" s="70"/>
      <c r="Q11" s="70"/>
      <c r="R11" s="70"/>
      <c r="S11" s="70"/>
      <c r="T11" s="70"/>
    </row>
    <row r="12" spans="1:20" x14ac:dyDescent="0.2">
      <c r="A12" s="70"/>
      <c r="B12" s="70"/>
      <c r="C12" s="70"/>
      <c r="D12" s="70"/>
      <c r="E12" s="70"/>
      <c r="F12" s="70"/>
      <c r="G12" s="70"/>
      <c r="H12" s="70"/>
      <c r="I12" s="70"/>
      <c r="J12" s="70"/>
      <c r="K12" s="70"/>
      <c r="L12" s="70"/>
      <c r="M12" s="70"/>
      <c r="N12" s="70"/>
      <c r="O12" s="70"/>
      <c r="P12" s="70"/>
      <c r="Q12" s="70"/>
      <c r="R12" s="70"/>
      <c r="S12" s="70"/>
      <c r="T12" s="70"/>
    </row>
    <row r="13" spans="1:20" x14ac:dyDescent="0.2">
      <c r="A13" s="70"/>
      <c r="B13" s="70"/>
      <c r="C13" s="70"/>
      <c r="D13" s="70"/>
      <c r="E13" s="70"/>
      <c r="F13" s="70"/>
      <c r="G13" s="70"/>
      <c r="H13" s="70"/>
      <c r="I13" s="70"/>
      <c r="J13" s="70"/>
      <c r="K13" s="70"/>
      <c r="L13" s="70"/>
      <c r="M13" s="70"/>
      <c r="N13" s="70"/>
      <c r="O13" s="70"/>
      <c r="P13" s="70"/>
      <c r="Q13" s="70"/>
      <c r="R13" s="70"/>
      <c r="S13" s="70"/>
      <c r="T13" s="70"/>
    </row>
    <row r="14" spans="1:20" x14ac:dyDescent="0.2">
      <c r="A14" s="70"/>
      <c r="B14" s="70"/>
      <c r="C14" s="70"/>
      <c r="D14" s="70"/>
      <c r="E14" s="70"/>
      <c r="F14" s="70"/>
      <c r="G14" s="70"/>
      <c r="H14" s="70"/>
      <c r="I14" s="70"/>
      <c r="J14" s="70"/>
      <c r="K14" s="70"/>
      <c r="L14" s="70"/>
      <c r="M14" s="70"/>
      <c r="N14" s="70"/>
      <c r="O14" s="70"/>
      <c r="P14" s="70"/>
      <c r="Q14" s="70"/>
      <c r="R14" s="70"/>
      <c r="S14" s="70"/>
      <c r="T14" s="70"/>
    </row>
    <row r="15" spans="1:20" x14ac:dyDescent="0.2">
      <c r="A15" s="70"/>
      <c r="B15" s="70"/>
      <c r="C15" s="70"/>
      <c r="D15" s="70"/>
      <c r="E15" s="70"/>
      <c r="F15" s="70"/>
      <c r="G15" s="70"/>
      <c r="H15" s="70"/>
      <c r="I15" s="70"/>
      <c r="J15" s="70"/>
      <c r="K15" s="70"/>
      <c r="L15" s="70"/>
      <c r="M15" s="70"/>
      <c r="N15" s="70"/>
      <c r="O15" s="70"/>
      <c r="P15" s="70"/>
      <c r="Q15" s="70"/>
      <c r="R15" s="70"/>
      <c r="S15" s="70"/>
      <c r="T15" s="70"/>
    </row>
    <row r="16" spans="1:20" x14ac:dyDescent="0.2">
      <c r="A16" s="81"/>
      <c r="B16" s="81"/>
      <c r="C16" s="81"/>
      <c r="D16" s="81"/>
      <c r="E16" s="81"/>
      <c r="F16" s="81"/>
      <c r="G16" s="81"/>
      <c r="H16" s="81"/>
      <c r="I16" s="81"/>
      <c r="J16" s="81"/>
      <c r="K16" s="81"/>
      <c r="L16" s="81"/>
      <c r="M16" s="81"/>
      <c r="N16" s="81"/>
      <c r="O16" s="81"/>
      <c r="P16" s="81"/>
      <c r="Q16" s="81"/>
      <c r="R16" s="81"/>
      <c r="S16" s="81"/>
      <c r="T16" s="81"/>
    </row>
    <row r="17" spans="1:21" x14ac:dyDescent="0.2">
      <c r="A17" s="81"/>
      <c r="B17" s="81"/>
      <c r="C17" s="81"/>
      <c r="D17" s="81"/>
      <c r="E17" s="81"/>
      <c r="F17" s="81"/>
      <c r="G17" s="81"/>
      <c r="H17" s="81"/>
      <c r="I17" s="81"/>
      <c r="J17" s="81"/>
      <c r="K17" s="81"/>
      <c r="L17" s="81"/>
      <c r="M17" s="81"/>
      <c r="N17" s="81"/>
      <c r="O17" s="81"/>
      <c r="P17" s="81"/>
      <c r="Q17" s="81"/>
      <c r="R17" s="81"/>
      <c r="S17" s="81"/>
      <c r="T17" s="81"/>
    </row>
    <row r="18" spans="1:21" x14ac:dyDescent="0.2">
      <c r="A18" s="81"/>
      <c r="B18" s="81"/>
      <c r="C18" s="81"/>
      <c r="D18" s="81"/>
      <c r="E18" s="81"/>
      <c r="F18" s="81"/>
      <c r="G18" s="81"/>
      <c r="H18" s="81"/>
      <c r="I18" s="81"/>
      <c r="J18" s="81"/>
      <c r="K18" s="81"/>
      <c r="L18" s="81"/>
      <c r="M18" s="81"/>
      <c r="N18" s="81"/>
      <c r="O18" s="81"/>
      <c r="P18" s="81"/>
      <c r="Q18" s="81"/>
      <c r="R18" s="81"/>
      <c r="S18" s="81"/>
      <c r="T18" s="81"/>
    </row>
    <row r="19" spans="1:21" x14ac:dyDescent="0.2">
      <c r="A19" s="81"/>
      <c r="B19" s="81"/>
      <c r="C19" s="81"/>
      <c r="D19" s="81"/>
      <c r="E19" s="81"/>
      <c r="F19" s="81"/>
      <c r="G19" s="81"/>
      <c r="H19" s="81"/>
      <c r="I19" s="81"/>
      <c r="J19" s="81"/>
      <c r="K19" s="81"/>
      <c r="L19" s="81"/>
      <c r="M19" s="81"/>
      <c r="N19" s="81"/>
      <c r="O19" s="81"/>
      <c r="P19" s="81"/>
      <c r="Q19" s="81"/>
      <c r="R19" s="81"/>
      <c r="S19" s="81"/>
      <c r="T19" s="81"/>
    </row>
    <row r="20" spans="1:21" x14ac:dyDescent="0.2">
      <c r="A20" s="81"/>
      <c r="B20" s="81"/>
      <c r="C20" s="81"/>
      <c r="D20" s="81"/>
      <c r="E20" s="81"/>
      <c r="F20" s="81"/>
      <c r="G20" s="81"/>
      <c r="H20" s="81"/>
      <c r="I20" s="81"/>
      <c r="J20" s="81"/>
      <c r="K20" s="81"/>
      <c r="L20" s="81"/>
      <c r="M20" s="81"/>
      <c r="N20" s="81"/>
      <c r="O20" s="81"/>
      <c r="P20" s="81"/>
      <c r="Q20" s="81"/>
      <c r="R20" s="81"/>
      <c r="S20" s="81"/>
      <c r="T20" s="81"/>
    </row>
    <row r="21" spans="1:21" x14ac:dyDescent="0.2">
      <c r="A21" s="81"/>
      <c r="B21" s="81"/>
      <c r="C21" s="81"/>
      <c r="D21" s="81"/>
      <c r="E21" s="81"/>
      <c r="F21" s="81"/>
      <c r="G21" s="81"/>
      <c r="H21" s="81"/>
      <c r="I21" s="81"/>
      <c r="J21" s="81"/>
      <c r="K21" s="81"/>
      <c r="L21" s="81"/>
      <c r="M21" s="81"/>
      <c r="N21" s="81"/>
      <c r="O21" s="81"/>
      <c r="P21" s="81"/>
      <c r="Q21" s="81"/>
      <c r="R21" s="81"/>
      <c r="S21" s="81"/>
      <c r="T21" s="81"/>
    </row>
    <row r="22" spans="1:21" x14ac:dyDescent="0.2">
      <c r="A22" s="81"/>
      <c r="B22" s="81"/>
      <c r="C22" s="81"/>
      <c r="D22" s="81"/>
      <c r="E22" s="81"/>
      <c r="F22" s="81"/>
      <c r="G22" s="81"/>
      <c r="H22" s="81"/>
      <c r="I22" s="81"/>
      <c r="J22" s="81"/>
      <c r="K22" s="81"/>
      <c r="L22" s="81"/>
      <c r="M22" s="81"/>
      <c r="N22" s="81"/>
      <c r="O22" s="81"/>
      <c r="P22" s="81"/>
      <c r="Q22" s="81"/>
      <c r="R22" s="81"/>
      <c r="S22" s="81"/>
      <c r="T22" s="81"/>
    </row>
    <row r="23" spans="1:21" x14ac:dyDescent="0.2">
      <c r="A23" s="81"/>
      <c r="B23" s="81"/>
      <c r="C23" s="81"/>
      <c r="D23" s="81"/>
      <c r="E23" s="81"/>
      <c r="F23" s="81"/>
      <c r="G23" s="81"/>
      <c r="H23" s="81"/>
      <c r="I23" s="81"/>
      <c r="J23" s="81"/>
      <c r="K23" s="81"/>
      <c r="L23" s="81"/>
      <c r="M23" s="81"/>
      <c r="N23" s="81"/>
      <c r="O23" s="81"/>
      <c r="P23" s="81"/>
      <c r="Q23" s="81"/>
      <c r="R23" s="81"/>
      <c r="S23" s="81"/>
      <c r="T23" s="81"/>
    </row>
    <row r="24" spans="1:21" x14ac:dyDescent="0.2">
      <c r="A24" s="81"/>
      <c r="B24" s="81"/>
      <c r="C24" s="81"/>
      <c r="D24" s="81"/>
      <c r="E24" s="81"/>
      <c r="F24" s="81"/>
      <c r="G24" s="81"/>
      <c r="H24" s="81"/>
      <c r="I24" s="81"/>
      <c r="J24" s="81"/>
      <c r="K24" s="81"/>
      <c r="L24" s="81"/>
      <c r="M24" s="81"/>
      <c r="N24" s="81"/>
      <c r="O24" s="81"/>
      <c r="P24" s="81"/>
      <c r="Q24" s="81"/>
      <c r="R24" s="81"/>
      <c r="S24" s="81"/>
      <c r="T24" s="81"/>
    </row>
    <row r="25" spans="1:21" x14ac:dyDescent="0.2">
      <c r="A25" s="81"/>
      <c r="B25" s="81"/>
      <c r="C25" s="81"/>
      <c r="D25" s="81"/>
      <c r="E25" s="81"/>
      <c r="F25" s="81"/>
      <c r="G25" s="81"/>
      <c r="H25" s="81"/>
      <c r="I25" s="81"/>
      <c r="J25" s="81"/>
      <c r="K25" s="81"/>
      <c r="L25" s="81"/>
      <c r="M25" s="81"/>
      <c r="N25" s="81"/>
      <c r="O25" s="81"/>
      <c r="P25" s="81"/>
      <c r="Q25" s="81"/>
      <c r="R25" s="81"/>
      <c r="S25" s="81"/>
      <c r="T25" s="81"/>
    </row>
    <row r="26" spans="1:21" x14ac:dyDescent="0.2">
      <c r="A26" s="81"/>
      <c r="B26" s="81"/>
      <c r="C26" s="81"/>
      <c r="D26" s="81"/>
      <c r="E26" s="81"/>
      <c r="F26" s="81"/>
      <c r="G26" s="81"/>
      <c r="H26" s="81"/>
      <c r="I26" s="81"/>
      <c r="J26" s="81"/>
      <c r="K26" s="81"/>
      <c r="L26" s="81"/>
      <c r="M26" s="81"/>
      <c r="N26" s="81"/>
      <c r="O26" s="81"/>
      <c r="P26" s="81"/>
      <c r="Q26" s="81"/>
      <c r="R26" s="81"/>
      <c r="S26" s="81"/>
      <c r="T26" s="81"/>
    </row>
    <row r="27" spans="1:21" x14ac:dyDescent="0.2">
      <c r="A27" s="84"/>
      <c r="B27" s="84"/>
      <c r="C27" s="84"/>
      <c r="D27" s="84"/>
      <c r="E27" s="84"/>
      <c r="F27" s="84"/>
      <c r="G27" s="84"/>
      <c r="H27" s="84"/>
      <c r="I27" s="84"/>
      <c r="J27" s="84"/>
      <c r="K27" s="84"/>
      <c r="L27" s="84"/>
      <c r="M27" s="84"/>
      <c r="N27" s="84"/>
      <c r="O27" s="84"/>
      <c r="P27" s="84"/>
      <c r="Q27" s="84"/>
      <c r="R27" s="84"/>
      <c r="S27" s="84"/>
      <c r="T27" s="84"/>
      <c r="U27" s="84"/>
    </row>
    <row r="28" spans="1:21" x14ac:dyDescent="0.2">
      <c r="A28" s="84"/>
      <c r="B28" s="84"/>
      <c r="C28" s="84"/>
      <c r="D28" s="84"/>
      <c r="E28" s="84"/>
      <c r="F28" s="84"/>
      <c r="G28" s="84"/>
      <c r="H28" s="84"/>
      <c r="I28" s="84"/>
      <c r="J28" s="84"/>
      <c r="K28" s="84"/>
      <c r="L28" s="84"/>
      <c r="M28" s="84"/>
      <c r="N28" s="84"/>
      <c r="O28" s="84"/>
      <c r="P28" s="84"/>
      <c r="Q28" s="84"/>
      <c r="R28" s="84"/>
      <c r="S28" s="84"/>
      <c r="T28" s="84"/>
      <c r="U28" s="84"/>
    </row>
    <row r="29" spans="1:21" x14ac:dyDescent="0.2">
      <c r="A29" s="84"/>
      <c r="B29" s="84"/>
      <c r="C29" s="84"/>
      <c r="D29" s="84"/>
      <c r="E29" s="84"/>
      <c r="F29" s="84"/>
      <c r="G29" s="84"/>
      <c r="H29" s="84"/>
      <c r="I29" s="84"/>
      <c r="J29" s="84"/>
      <c r="K29" s="84"/>
      <c r="L29" s="84"/>
      <c r="M29" s="84"/>
      <c r="N29" s="84"/>
      <c r="O29" s="84"/>
      <c r="P29" s="84"/>
      <c r="Q29" s="84"/>
      <c r="R29" s="84"/>
      <c r="S29" s="84"/>
      <c r="T29" s="84"/>
      <c r="U29" s="84"/>
    </row>
    <row r="30" spans="1:21" x14ac:dyDescent="0.2">
      <c r="A30" s="84"/>
      <c r="B30" s="84"/>
      <c r="C30" s="84"/>
      <c r="D30" s="84"/>
      <c r="E30" s="84"/>
      <c r="F30" s="84"/>
      <c r="G30" s="84"/>
      <c r="H30" s="84"/>
      <c r="I30" s="84"/>
      <c r="J30" s="84"/>
      <c r="K30" s="84"/>
      <c r="L30" s="84"/>
      <c r="M30" s="84"/>
      <c r="N30" s="84"/>
      <c r="O30" s="84"/>
      <c r="P30" s="84"/>
      <c r="Q30" s="84"/>
      <c r="R30" s="84"/>
      <c r="S30" s="84"/>
      <c r="T30" s="84"/>
      <c r="U30" s="84"/>
    </row>
    <row r="31" spans="1:21" ht="5.25" customHeight="1" x14ac:dyDescent="0.2">
      <c r="A31" s="84"/>
      <c r="B31" s="84"/>
      <c r="C31" s="84"/>
      <c r="D31" s="84"/>
      <c r="E31" s="84"/>
      <c r="F31" s="84"/>
      <c r="G31" s="84"/>
      <c r="H31" s="84"/>
      <c r="I31" s="84"/>
      <c r="J31" s="84"/>
      <c r="K31" s="84"/>
      <c r="L31" s="84"/>
      <c r="M31" s="84"/>
      <c r="N31" s="84"/>
      <c r="O31" s="84"/>
      <c r="P31" s="84"/>
      <c r="Q31" s="84"/>
      <c r="R31" s="84"/>
      <c r="S31" s="84"/>
      <c r="T31" s="84"/>
      <c r="U31" s="84"/>
    </row>
    <row r="32" spans="1:21" x14ac:dyDescent="0.2">
      <c r="A32" s="84"/>
      <c r="B32" s="84"/>
      <c r="C32" s="84"/>
      <c r="D32" s="84"/>
      <c r="E32" s="84"/>
      <c r="F32" s="84"/>
      <c r="G32" s="84"/>
      <c r="H32" s="84"/>
      <c r="I32" s="84"/>
      <c r="J32" s="84"/>
      <c r="K32" s="84"/>
      <c r="L32" s="84"/>
      <c r="M32" s="84"/>
      <c r="N32" s="84"/>
      <c r="O32" s="84"/>
      <c r="P32" s="84"/>
      <c r="Q32" s="84"/>
      <c r="R32" s="84"/>
      <c r="S32" s="84"/>
      <c r="T32" s="84"/>
      <c r="U32" s="84"/>
    </row>
    <row r="33" spans="1:21" x14ac:dyDescent="0.2">
      <c r="A33" s="84"/>
      <c r="B33" s="84"/>
      <c r="C33" s="84"/>
      <c r="D33" s="84"/>
      <c r="E33" s="84"/>
      <c r="F33" s="84"/>
      <c r="G33" s="84"/>
      <c r="H33" s="84"/>
      <c r="I33" s="84"/>
      <c r="J33" s="84"/>
      <c r="K33" s="84"/>
      <c r="L33" s="84"/>
      <c r="M33" s="84"/>
      <c r="N33" s="84"/>
      <c r="O33" s="84"/>
      <c r="P33" s="84"/>
      <c r="Q33" s="84"/>
      <c r="R33" s="84"/>
      <c r="S33" s="84"/>
      <c r="T33" s="84"/>
      <c r="U33" s="84"/>
    </row>
    <row r="34" spans="1:21" x14ac:dyDescent="0.2">
      <c r="A34" s="84"/>
      <c r="B34" s="84"/>
      <c r="C34" s="84"/>
      <c r="D34" s="84"/>
      <c r="E34" s="84"/>
      <c r="F34" s="84"/>
      <c r="G34" s="84"/>
      <c r="H34" s="84"/>
      <c r="I34" s="84"/>
      <c r="J34" s="84"/>
      <c r="K34" s="84"/>
      <c r="L34" s="84"/>
      <c r="M34" s="84"/>
      <c r="N34" s="84"/>
      <c r="O34" s="84"/>
      <c r="P34" s="84"/>
      <c r="Q34" s="84"/>
      <c r="R34" s="84"/>
      <c r="S34" s="84"/>
      <c r="T34" s="84"/>
      <c r="U34" s="84"/>
    </row>
    <row r="35" spans="1:21" ht="15" x14ac:dyDescent="0.3">
      <c r="A35" s="86"/>
      <c r="B35" s="86"/>
      <c r="C35" s="86"/>
      <c r="D35" s="86"/>
      <c r="E35" s="86"/>
      <c r="F35" s="86"/>
      <c r="G35" s="86"/>
      <c r="H35" s="86"/>
      <c r="I35" s="86"/>
      <c r="J35" s="86"/>
      <c r="K35" s="86"/>
      <c r="L35" s="86"/>
      <c r="M35" s="86"/>
      <c r="N35" s="86"/>
      <c r="O35" s="86"/>
      <c r="P35" s="86"/>
      <c r="Q35" s="86"/>
      <c r="R35" s="86"/>
      <c r="S35" s="86"/>
      <c r="T35" s="86"/>
      <c r="U35" s="86"/>
    </row>
    <row r="36" spans="1:21" ht="15" x14ac:dyDescent="0.3">
      <c r="A36" s="86"/>
      <c r="B36" s="86"/>
      <c r="C36" s="86"/>
      <c r="D36" s="86"/>
      <c r="E36" s="86"/>
      <c r="F36" s="86"/>
      <c r="G36" s="86"/>
      <c r="H36" s="86"/>
      <c r="I36" s="86"/>
      <c r="J36" s="86"/>
      <c r="K36" s="86"/>
      <c r="L36" s="86"/>
      <c r="M36" s="86"/>
      <c r="N36" s="86"/>
      <c r="O36" s="86"/>
      <c r="P36" s="86"/>
      <c r="Q36" s="86"/>
      <c r="R36" s="86"/>
      <c r="S36" s="86"/>
      <c r="T36" s="86"/>
      <c r="U36" s="86"/>
    </row>
    <row r="37" spans="1:21" ht="15" customHeight="1" x14ac:dyDescent="0.3">
      <c r="A37" s="86"/>
      <c r="B37" s="86"/>
      <c r="C37" s="126" t="s">
        <v>121</v>
      </c>
      <c r="D37" s="126"/>
      <c r="E37" s="126"/>
      <c r="F37" s="127">
        <v>40000</v>
      </c>
      <c r="G37" s="127"/>
      <c r="H37" s="127"/>
      <c r="I37" s="86"/>
      <c r="J37" s="86"/>
      <c r="K37" s="126" t="s">
        <v>131</v>
      </c>
      <c r="L37" s="126"/>
      <c r="M37" s="126"/>
      <c r="N37" s="86"/>
      <c r="O37" s="86"/>
      <c r="P37" s="86"/>
      <c r="Q37" s="86"/>
      <c r="R37" s="86"/>
      <c r="S37" s="86"/>
      <c r="T37" s="86"/>
      <c r="U37" s="86"/>
    </row>
    <row r="38" spans="1:21" ht="15" customHeight="1" x14ac:dyDescent="0.3">
      <c r="A38" s="86"/>
      <c r="B38" s="86"/>
      <c r="C38" s="126"/>
      <c r="D38" s="126"/>
      <c r="E38" s="126"/>
      <c r="F38" s="127"/>
      <c r="G38" s="127"/>
      <c r="H38" s="127"/>
      <c r="I38" s="86"/>
      <c r="J38" s="86"/>
      <c r="K38" s="126"/>
      <c r="L38" s="126"/>
      <c r="M38" s="126"/>
      <c r="N38" s="86"/>
      <c r="O38" s="86"/>
      <c r="P38" s="86"/>
      <c r="Q38" s="86"/>
      <c r="R38" s="86"/>
      <c r="S38" s="86"/>
      <c r="T38" s="86"/>
      <c r="U38" s="86"/>
    </row>
    <row r="39" spans="1:21" ht="15" customHeight="1" x14ac:dyDescent="0.3">
      <c r="A39" s="86"/>
      <c r="B39" s="86"/>
      <c r="C39" s="126"/>
      <c r="D39" s="126"/>
      <c r="E39" s="126"/>
      <c r="F39" s="127"/>
      <c r="G39" s="127"/>
      <c r="H39" s="127"/>
      <c r="I39" s="86"/>
      <c r="J39" s="86"/>
      <c r="K39" s="126"/>
      <c r="L39" s="126"/>
      <c r="M39" s="126"/>
      <c r="N39" s="86"/>
      <c r="O39" s="86"/>
      <c r="P39" s="86"/>
      <c r="Q39" s="86"/>
      <c r="R39" s="86"/>
      <c r="S39" s="86"/>
      <c r="T39" s="86"/>
      <c r="U39" s="86"/>
    </row>
    <row r="40" spans="1:21" ht="15" x14ac:dyDescent="0.3">
      <c r="A40" s="86"/>
      <c r="B40" s="86"/>
      <c r="C40" s="86"/>
      <c r="D40" s="86"/>
      <c r="E40" s="86"/>
      <c r="F40" s="86"/>
      <c r="G40" s="86"/>
      <c r="H40" s="86"/>
      <c r="I40" s="86"/>
      <c r="J40" s="86"/>
      <c r="K40" s="86"/>
      <c r="L40" s="86"/>
      <c r="M40" s="86"/>
      <c r="N40" s="86"/>
      <c r="O40" s="86"/>
      <c r="P40" s="86"/>
      <c r="Q40" s="86"/>
      <c r="R40" s="86"/>
      <c r="S40" s="86"/>
      <c r="T40" s="86"/>
      <c r="U40" s="86"/>
    </row>
    <row r="41" spans="1:21" ht="15" x14ac:dyDescent="0.3">
      <c r="A41" s="86"/>
      <c r="B41" s="86"/>
      <c r="C41" s="86"/>
      <c r="D41" s="86"/>
      <c r="E41" s="86"/>
      <c r="F41" s="86"/>
      <c r="G41" s="86"/>
      <c r="H41" s="87"/>
      <c r="I41" s="86"/>
      <c r="J41" s="86"/>
      <c r="K41" s="86"/>
      <c r="L41" s="86"/>
      <c r="M41" s="86"/>
      <c r="N41" s="86"/>
      <c r="O41" s="86"/>
      <c r="P41" s="86"/>
      <c r="Q41" s="86"/>
      <c r="R41" s="86"/>
      <c r="S41" s="86"/>
      <c r="T41" s="86"/>
      <c r="U41" s="86"/>
    </row>
    <row r="42" spans="1:21" ht="15" x14ac:dyDescent="0.3">
      <c r="A42" s="86"/>
      <c r="B42" s="86"/>
      <c r="C42" s="86"/>
      <c r="D42" s="86"/>
      <c r="E42" s="86"/>
      <c r="F42" s="86"/>
      <c r="G42" s="86"/>
      <c r="H42" s="87"/>
      <c r="I42" s="86"/>
      <c r="J42" s="86"/>
      <c r="K42" s="86"/>
      <c r="L42" s="86"/>
      <c r="M42" s="86"/>
      <c r="N42" s="86"/>
      <c r="O42" s="86"/>
      <c r="P42" s="86"/>
      <c r="Q42" s="86"/>
      <c r="R42" s="86"/>
      <c r="S42" s="86"/>
      <c r="T42" s="86"/>
      <c r="U42" s="86"/>
    </row>
    <row r="43" spans="1:21" ht="32.25" customHeight="1" x14ac:dyDescent="0.4">
      <c r="A43" s="74"/>
      <c r="B43" s="106" t="s">
        <v>59</v>
      </c>
      <c r="C43" s="102"/>
      <c r="D43" s="102"/>
      <c r="E43" s="102"/>
      <c r="F43" s="101"/>
      <c r="G43" s="103"/>
      <c r="H43" s="107" t="s">
        <v>126</v>
      </c>
      <c r="I43" s="103"/>
      <c r="J43" s="103"/>
      <c r="K43" s="103"/>
      <c r="L43" s="102"/>
      <c r="M43" s="102"/>
      <c r="N43" s="102"/>
      <c r="O43" s="74"/>
      <c r="P43" s="112" t="str">
        <f>IF(Excedent1&gt;0,"WIA Excedent (wordt betaald door Renewi)","")</f>
        <v/>
      </c>
      <c r="Q43" s="104"/>
      <c r="R43" s="104"/>
      <c r="S43" s="104"/>
      <c r="T43" s="104"/>
      <c r="U43" s="74"/>
    </row>
    <row r="44" spans="1:21" ht="15" x14ac:dyDescent="0.3">
      <c r="A44" s="73"/>
      <c r="B44" s="75"/>
      <c r="C44" s="105" t="s">
        <v>60</v>
      </c>
      <c r="D44" s="105"/>
      <c r="E44" s="105" t="s">
        <v>67</v>
      </c>
      <c r="F44" s="75"/>
      <c r="G44" s="105"/>
      <c r="H44" s="108"/>
      <c r="I44" s="105" t="s">
        <v>60</v>
      </c>
      <c r="J44" s="105"/>
      <c r="K44" s="105" t="s">
        <v>67</v>
      </c>
      <c r="L44" s="105"/>
      <c r="M44" s="105"/>
      <c r="N44" s="105"/>
      <c r="O44" s="75"/>
      <c r="P44" s="108"/>
      <c r="Q44" s="105" t="str">
        <f>IF(Excedent1&gt;0,"verzekeraar","")</f>
        <v/>
      </c>
      <c r="R44" s="105"/>
      <c r="S44" s="105" t="str">
        <f>IF(Excedent1&gt;0,"Nationale Nederlanden","")</f>
        <v/>
      </c>
      <c r="T44" s="105"/>
    </row>
    <row r="45" spans="1:21" ht="15" x14ac:dyDescent="0.3">
      <c r="A45" s="73"/>
      <c r="B45" s="75"/>
      <c r="C45" s="105" t="s">
        <v>61</v>
      </c>
      <c r="D45" s="105"/>
      <c r="E45" s="105" t="s">
        <v>123</v>
      </c>
      <c r="F45" s="75"/>
      <c r="G45" s="105"/>
      <c r="H45" s="108"/>
      <c r="I45" s="105" t="s">
        <v>61</v>
      </c>
      <c r="J45" s="105"/>
      <c r="K45" s="105" t="s">
        <v>123</v>
      </c>
      <c r="L45" s="105"/>
      <c r="M45" s="105"/>
      <c r="N45" s="105"/>
      <c r="O45" s="75"/>
      <c r="P45" s="108"/>
      <c r="Q45" s="105" t="str">
        <f>IF(Excedent1&gt;0,"deelname","")</f>
        <v/>
      </c>
      <c r="R45" s="105"/>
      <c r="S45" s="105" t="str">
        <f>IF(Excedent1&gt;0,"Verplicht","")</f>
        <v/>
      </c>
      <c r="T45" s="105"/>
    </row>
    <row r="46" spans="1:21" ht="15" x14ac:dyDescent="0.3">
      <c r="A46" s="73"/>
      <c r="B46" s="75"/>
      <c r="C46" s="105" t="s">
        <v>62</v>
      </c>
      <c r="D46" s="105"/>
      <c r="E46" s="105" t="s">
        <v>71</v>
      </c>
      <c r="F46" s="75"/>
      <c r="G46" s="105"/>
      <c r="H46" s="108"/>
      <c r="I46" s="105" t="s">
        <v>140</v>
      </c>
      <c r="J46" s="105"/>
      <c r="K46" s="105" t="s">
        <v>132</v>
      </c>
      <c r="L46" s="105"/>
      <c r="M46" s="105"/>
      <c r="N46" s="105"/>
      <c r="O46" s="75"/>
      <c r="P46" s="108"/>
      <c r="Q46" s="105" t="str">
        <f>IF(Excedent1&gt;0,"eindleeftijd","")</f>
        <v/>
      </c>
      <c r="R46" s="105"/>
      <c r="S46" s="105" t="str">
        <f>IF(Excedent1&gt;0,"AOW gerechtigde leeftijd ","")</f>
        <v/>
      </c>
      <c r="T46" s="105"/>
    </row>
    <row r="47" spans="1:21" ht="15" x14ac:dyDescent="0.3">
      <c r="A47" s="73"/>
      <c r="B47" s="75"/>
      <c r="C47" s="105" t="s">
        <v>133</v>
      </c>
      <c r="D47" s="105"/>
      <c r="E47" s="105" t="s">
        <v>136</v>
      </c>
      <c r="F47" s="75"/>
      <c r="G47" s="105"/>
      <c r="H47" s="108"/>
      <c r="I47" s="105" t="s">
        <v>133</v>
      </c>
      <c r="J47" s="105"/>
      <c r="K47" s="105" t="s">
        <v>141</v>
      </c>
      <c r="L47" s="105"/>
      <c r="M47" s="105"/>
      <c r="N47" s="105"/>
      <c r="O47" s="75"/>
      <c r="P47" s="108"/>
      <c r="Q47" s="105" t="str">
        <f>IF(Excedent1&gt;0,"dekking","")</f>
        <v/>
      </c>
      <c r="R47" s="105"/>
      <c r="S47" s="105" t="str">
        <f>IF(Excedent1&gt;0,"Vult de WGA uitkering aan met","")</f>
        <v/>
      </c>
      <c r="T47" s="105"/>
    </row>
    <row r="48" spans="1:21" ht="15" x14ac:dyDescent="0.3">
      <c r="A48" s="73"/>
      <c r="B48" s="75"/>
      <c r="C48" s="82"/>
      <c r="D48" s="82"/>
      <c r="E48" s="83" t="s">
        <v>137</v>
      </c>
      <c r="F48" s="75"/>
      <c r="G48" s="83"/>
      <c r="H48" s="109"/>
      <c r="I48" s="82"/>
      <c r="J48" s="82"/>
      <c r="K48" s="83" t="s">
        <v>142</v>
      </c>
      <c r="L48" s="82"/>
      <c r="M48" s="82"/>
      <c r="N48" s="82"/>
      <c r="O48" s="75"/>
      <c r="P48" s="109"/>
      <c r="Q48" s="82"/>
      <c r="R48" s="83"/>
      <c r="S48" s="83" t="str">
        <f>IF(Excedent1&gt;0,"een uitkering van 70% van je","")</f>
        <v/>
      </c>
      <c r="T48" s="83"/>
    </row>
    <row r="49" spans="1:21" ht="15" x14ac:dyDescent="0.3">
      <c r="A49" s="73"/>
      <c r="B49" s="75"/>
      <c r="C49" s="82"/>
      <c r="D49" s="82"/>
      <c r="E49" s="83" t="s">
        <v>64</v>
      </c>
      <c r="F49" s="75"/>
      <c r="G49" s="83"/>
      <c r="H49" s="109"/>
      <c r="I49" s="82"/>
      <c r="J49" s="82"/>
      <c r="K49" s="83" t="s">
        <v>143</v>
      </c>
      <c r="L49" s="82"/>
      <c r="M49" s="82"/>
      <c r="N49" s="82"/>
      <c r="O49" s="75"/>
      <c r="P49" s="109"/>
      <c r="Q49" s="82"/>
      <c r="R49" s="83"/>
      <c r="S49" s="83" t="str">
        <f>IF(Excedent1&gt;0,"verzekerd loon maal je ao%.","")</f>
        <v/>
      </c>
      <c r="T49" s="83"/>
    </row>
    <row r="50" spans="1:21" ht="15" x14ac:dyDescent="0.3">
      <c r="A50" s="73"/>
      <c r="B50" s="75"/>
      <c r="C50" s="105" t="s">
        <v>64</v>
      </c>
      <c r="D50" s="105"/>
      <c r="E50" s="105" t="s">
        <v>138</v>
      </c>
      <c r="F50" s="75"/>
      <c r="G50" s="105"/>
      <c r="H50" s="108"/>
      <c r="I50" s="105" t="s">
        <v>64</v>
      </c>
      <c r="J50" s="105"/>
      <c r="K50" s="105" t="s">
        <v>134</v>
      </c>
      <c r="L50" s="105"/>
      <c r="M50" s="105"/>
      <c r="N50" s="105"/>
      <c r="O50" s="75"/>
      <c r="P50" s="108"/>
      <c r="Q50" s="105" t="str">
        <f>IF(Excedent1&gt;0,"verzekerd loon","")</f>
        <v/>
      </c>
      <c r="R50" s="105"/>
      <c r="S50" s="105" t="str">
        <f>IF(Excedent1&gt;0,"Het gedeelte van je jaarloon","")</f>
        <v/>
      </c>
      <c r="T50" s="105"/>
    </row>
    <row r="51" spans="1:21" ht="15" x14ac:dyDescent="0.3">
      <c r="A51" s="73"/>
      <c r="B51" s="98"/>
      <c r="C51" s="99"/>
      <c r="D51" s="99"/>
      <c r="E51" s="100" t="s">
        <v>139</v>
      </c>
      <c r="F51" s="98"/>
      <c r="G51" s="100"/>
      <c r="H51" s="110"/>
      <c r="I51" s="99"/>
      <c r="J51" s="99"/>
      <c r="K51" s="100" t="str">
        <f>"(voor 2025 "&amp;TEXT(Max_SV,"€ 00.000")&amp;")"</f>
        <v>(voor 2025 € 75.864)</v>
      </c>
      <c r="L51" s="99"/>
      <c r="M51" s="99"/>
      <c r="N51" s="99"/>
      <c r="O51" s="98"/>
      <c r="P51" s="110"/>
      <c r="Q51" s="99"/>
      <c r="R51" s="100"/>
      <c r="S51" s="100" t="str">
        <f>IF(Excedent1&gt;0,"wat boven het max. SV jaarloon","")</f>
        <v/>
      </c>
      <c r="T51" s="100"/>
    </row>
    <row r="52" spans="1:21" ht="15" x14ac:dyDescent="0.3">
      <c r="A52" s="73"/>
      <c r="B52" s="98"/>
      <c r="C52" s="99"/>
      <c r="D52" s="99"/>
      <c r="E52" s="100" t="str">
        <f>"(voor 2025 "&amp;TEXT(Max_SV,"€ 00.000")&amp;")"</f>
        <v>(voor 2025 € 75.864)</v>
      </c>
      <c r="F52" s="98"/>
      <c r="G52" s="100"/>
      <c r="H52" s="110"/>
      <c r="I52" s="99"/>
      <c r="J52" s="99"/>
      <c r="K52" s="100"/>
      <c r="L52" s="99"/>
      <c r="M52" s="99"/>
      <c r="N52" s="99"/>
      <c r="O52" s="98"/>
      <c r="P52" s="110"/>
      <c r="Q52" s="99"/>
      <c r="R52" s="100"/>
      <c r="S52" s="100" t="str">
        <f>IF(Excedent1&gt;0,"uitkomt.","")</f>
        <v/>
      </c>
      <c r="T52" s="100"/>
    </row>
    <row r="53" spans="1:21" x14ac:dyDescent="0.2">
      <c r="A53" s="84"/>
      <c r="B53" s="84"/>
      <c r="C53" s="84"/>
      <c r="D53" s="84"/>
      <c r="E53" s="84"/>
      <c r="F53" s="84"/>
      <c r="G53" s="84"/>
      <c r="H53" s="111"/>
      <c r="I53" s="84"/>
      <c r="J53" s="84"/>
      <c r="K53" s="84"/>
      <c r="L53" s="84"/>
      <c r="M53" s="84"/>
      <c r="N53" s="84"/>
      <c r="O53" s="84"/>
      <c r="P53" s="111"/>
      <c r="Q53" s="84"/>
      <c r="R53" s="84"/>
      <c r="S53" s="84"/>
      <c r="T53" s="84"/>
      <c r="U53" s="84"/>
    </row>
    <row r="54" spans="1:21" ht="15" hidden="1" x14ac:dyDescent="0.3">
      <c r="A54" s="72"/>
      <c r="B54" s="72"/>
      <c r="C54" s="72"/>
      <c r="D54" s="72"/>
      <c r="E54" s="72"/>
      <c r="F54" s="72"/>
      <c r="G54" s="72"/>
      <c r="H54" s="72"/>
      <c r="I54" s="72"/>
      <c r="J54" s="72"/>
      <c r="K54" s="72"/>
      <c r="L54" s="72"/>
      <c r="M54" s="72"/>
      <c r="N54" s="72"/>
      <c r="O54" s="72"/>
      <c r="P54" s="72"/>
      <c r="Q54" s="72"/>
      <c r="R54" s="72"/>
      <c r="S54" s="72"/>
      <c r="T54" s="72"/>
      <c r="U54" s="72"/>
    </row>
    <row r="55" spans="1:21" ht="15" hidden="1" x14ac:dyDescent="0.3">
      <c r="A55" s="72"/>
      <c r="B55" s="72"/>
      <c r="C55" s="72"/>
      <c r="D55" s="72"/>
      <c r="E55" s="72"/>
      <c r="F55" s="72"/>
      <c r="G55" s="72"/>
      <c r="H55" s="72"/>
      <c r="I55" s="72"/>
      <c r="J55" s="72"/>
      <c r="K55" s="72"/>
      <c r="L55" s="72"/>
      <c r="M55" s="72"/>
      <c r="N55" s="72"/>
      <c r="O55" s="72"/>
      <c r="P55" s="72"/>
      <c r="Q55" s="72"/>
      <c r="R55" s="72"/>
      <c r="S55" s="72"/>
      <c r="T55" s="72"/>
      <c r="U55" s="72"/>
    </row>
    <row r="56" spans="1:21" hidden="1" x14ac:dyDescent="0.2">
      <c r="A56" s="70"/>
      <c r="B56" s="70"/>
      <c r="C56" s="70"/>
      <c r="D56" s="70"/>
      <c r="E56" s="70"/>
      <c r="F56" s="70"/>
      <c r="G56" s="70"/>
      <c r="H56" s="70"/>
      <c r="I56" s="70"/>
      <c r="J56" s="70"/>
      <c r="K56" s="70"/>
      <c r="L56" s="70"/>
      <c r="M56" s="70"/>
      <c r="N56" s="70"/>
      <c r="O56" s="70"/>
      <c r="P56" s="70"/>
      <c r="Q56" s="70"/>
      <c r="R56" s="70"/>
      <c r="S56" s="70"/>
      <c r="T56" s="70"/>
      <c r="U56" s="70"/>
    </row>
    <row r="57" spans="1:21" hidden="1" x14ac:dyDescent="0.2">
      <c r="A57" s="70"/>
      <c r="B57" s="70"/>
      <c r="C57" s="70"/>
      <c r="D57" s="70"/>
      <c r="E57" s="70"/>
      <c r="F57" s="70"/>
      <c r="G57" s="70"/>
      <c r="H57" s="70"/>
      <c r="I57" s="70"/>
      <c r="J57" s="70"/>
      <c r="K57" s="70"/>
      <c r="L57" s="70"/>
      <c r="M57" s="70"/>
      <c r="N57" s="70"/>
      <c r="O57" s="70"/>
      <c r="P57" s="70"/>
      <c r="Q57" s="70"/>
      <c r="R57" s="70"/>
      <c r="S57" s="70"/>
      <c r="T57" s="70"/>
      <c r="U57" s="70"/>
    </row>
    <row r="58" spans="1:21" hidden="1" x14ac:dyDescent="0.2">
      <c r="A58" s="70"/>
      <c r="B58" s="70"/>
      <c r="C58" s="70"/>
      <c r="D58" s="70"/>
      <c r="E58" s="70"/>
      <c r="F58" s="70"/>
      <c r="G58" s="70"/>
      <c r="H58" s="70"/>
      <c r="I58" s="70"/>
      <c r="J58" s="70"/>
      <c r="K58" s="70"/>
      <c r="L58" s="70"/>
      <c r="M58" s="70"/>
      <c r="N58" s="70"/>
      <c r="O58" s="70"/>
      <c r="P58" s="70"/>
      <c r="Q58" s="70"/>
      <c r="R58" s="70"/>
      <c r="S58" s="70"/>
      <c r="T58" s="70"/>
      <c r="U58" s="70"/>
    </row>
    <row r="59" spans="1:21" hidden="1" x14ac:dyDescent="0.2">
      <c r="A59" s="70"/>
      <c r="B59" s="70"/>
      <c r="C59" s="70"/>
      <c r="D59" s="70"/>
      <c r="E59" s="70"/>
      <c r="F59" s="70"/>
      <c r="G59" s="70"/>
      <c r="H59" s="70"/>
      <c r="I59" s="70"/>
      <c r="J59" s="70"/>
      <c r="K59" s="70"/>
      <c r="L59" s="70"/>
      <c r="M59" s="70"/>
      <c r="N59" s="70"/>
      <c r="O59" s="70"/>
      <c r="P59" s="70"/>
      <c r="Q59" s="70"/>
      <c r="R59" s="70"/>
      <c r="S59" s="70"/>
      <c r="T59" s="70"/>
      <c r="U59" s="70"/>
    </row>
    <row r="60" spans="1:21" hidden="1" x14ac:dyDescent="0.2">
      <c r="A60" s="70"/>
      <c r="B60" s="70"/>
      <c r="C60" s="70"/>
      <c r="D60" s="70"/>
      <c r="E60" s="70"/>
      <c r="F60" s="70"/>
      <c r="G60" s="70"/>
      <c r="H60" s="70"/>
      <c r="I60" s="70"/>
      <c r="J60" s="70"/>
      <c r="K60" s="70"/>
      <c r="L60" s="70"/>
      <c r="M60" s="70"/>
      <c r="N60" s="70"/>
      <c r="O60" s="70"/>
      <c r="P60" s="70"/>
      <c r="Q60" s="70"/>
      <c r="R60" s="70"/>
      <c r="S60" s="70"/>
      <c r="T60" s="70"/>
      <c r="U60" s="70"/>
    </row>
    <row r="61" spans="1:21" hidden="1" x14ac:dyDescent="0.2">
      <c r="A61" s="70"/>
      <c r="B61" s="70"/>
      <c r="C61" s="70"/>
      <c r="D61" s="70"/>
      <c r="E61" s="70"/>
      <c r="F61" s="70"/>
      <c r="G61" s="70"/>
      <c r="H61" s="70"/>
      <c r="I61" s="70"/>
      <c r="J61" s="70"/>
      <c r="K61" s="70"/>
      <c r="L61" s="70"/>
      <c r="M61" s="70"/>
      <c r="N61" s="70"/>
      <c r="O61" s="70"/>
      <c r="P61" s="70"/>
      <c r="Q61" s="70"/>
      <c r="R61" s="70"/>
      <c r="S61" s="70"/>
      <c r="T61" s="70"/>
      <c r="U61" s="70"/>
    </row>
    <row r="62" spans="1:21" hidden="1" x14ac:dyDescent="0.2">
      <c r="A62" s="70"/>
      <c r="B62" s="70"/>
      <c r="C62" s="70"/>
      <c r="D62" s="70"/>
      <c r="E62" s="70"/>
      <c r="F62" s="70"/>
      <c r="G62" s="70"/>
      <c r="H62" s="70"/>
      <c r="I62" s="70"/>
      <c r="J62" s="70"/>
      <c r="K62" s="70"/>
      <c r="L62" s="70"/>
      <c r="M62" s="70"/>
      <c r="N62" s="70"/>
      <c r="O62" s="70"/>
      <c r="P62" s="70"/>
      <c r="Q62" s="70"/>
      <c r="R62" s="70"/>
      <c r="S62" s="70"/>
      <c r="T62" s="70"/>
      <c r="U62" s="70"/>
    </row>
    <row r="63" spans="1:21" hidden="1" x14ac:dyDescent="0.2">
      <c r="A63" s="70"/>
      <c r="B63" s="70"/>
      <c r="C63" s="70"/>
      <c r="D63" s="70"/>
      <c r="E63" s="70"/>
      <c r="F63" s="70"/>
      <c r="G63" s="70"/>
      <c r="H63" s="70"/>
      <c r="I63" s="70"/>
      <c r="J63" s="70"/>
      <c r="K63" s="70"/>
      <c r="L63" s="70"/>
      <c r="M63" s="70"/>
      <c r="N63" s="70"/>
      <c r="O63" s="70"/>
      <c r="P63" s="70"/>
      <c r="Q63" s="70"/>
      <c r="R63" s="70"/>
      <c r="S63" s="70"/>
      <c r="T63" s="70"/>
      <c r="U63" s="70"/>
    </row>
    <row r="64" spans="1:21" hidden="1" x14ac:dyDescent="0.2">
      <c r="A64" s="70"/>
      <c r="B64" s="70"/>
      <c r="C64" s="70"/>
      <c r="D64" s="70"/>
      <c r="E64" s="70"/>
      <c r="F64" s="70"/>
      <c r="G64" s="70"/>
      <c r="H64" s="70"/>
      <c r="I64" s="70"/>
      <c r="J64" s="70"/>
      <c r="K64" s="70"/>
      <c r="L64" s="70"/>
      <c r="M64" s="70"/>
      <c r="N64" s="70"/>
      <c r="O64" s="70"/>
      <c r="P64" s="70"/>
      <c r="Q64" s="70"/>
      <c r="R64" s="70"/>
      <c r="S64" s="70"/>
      <c r="T64" s="70"/>
      <c r="U64" s="70"/>
    </row>
    <row r="65" spans="1:21" hidden="1" x14ac:dyDescent="0.2">
      <c r="A65" s="70"/>
      <c r="B65" s="70"/>
      <c r="C65" s="70"/>
      <c r="D65" s="70"/>
      <c r="E65" s="70"/>
      <c r="F65" s="70"/>
      <c r="G65" s="70"/>
      <c r="H65" s="70"/>
      <c r="I65" s="70"/>
      <c r="J65" s="70"/>
      <c r="K65" s="70"/>
      <c r="L65" s="70"/>
      <c r="M65" s="70"/>
      <c r="N65" s="70"/>
      <c r="O65" s="70"/>
      <c r="P65" s="70"/>
      <c r="Q65" s="70"/>
      <c r="R65" s="70"/>
      <c r="S65" s="70"/>
      <c r="T65" s="70"/>
      <c r="U65" s="70"/>
    </row>
    <row r="66" spans="1:21" hidden="1" x14ac:dyDescent="0.2">
      <c r="A66" s="70"/>
      <c r="B66" s="70"/>
      <c r="C66" s="70"/>
      <c r="D66" s="70"/>
      <c r="E66" s="70"/>
      <c r="F66" s="70"/>
      <c r="G66" s="70"/>
      <c r="H66" s="70"/>
      <c r="I66" s="70"/>
      <c r="J66" s="70"/>
      <c r="K66" s="70"/>
      <c r="L66" s="70"/>
      <c r="M66" s="70"/>
      <c r="N66" s="70"/>
      <c r="O66" s="70"/>
      <c r="P66" s="70"/>
      <c r="Q66" s="70"/>
      <c r="R66" s="70"/>
      <c r="S66" s="70"/>
      <c r="T66" s="70"/>
      <c r="U66" s="70"/>
    </row>
    <row r="67" spans="1:21" hidden="1" x14ac:dyDescent="0.2">
      <c r="A67" s="70"/>
      <c r="B67" s="70"/>
      <c r="C67" s="70"/>
      <c r="D67" s="70"/>
      <c r="E67" s="70"/>
      <c r="F67" s="70"/>
      <c r="G67" s="70"/>
      <c r="H67" s="70"/>
      <c r="I67" s="70"/>
      <c r="J67" s="70"/>
      <c r="K67" s="70"/>
      <c r="L67" s="70"/>
      <c r="M67" s="70"/>
      <c r="N67" s="70"/>
      <c r="O67" s="70"/>
      <c r="P67" s="70"/>
      <c r="Q67" s="70"/>
      <c r="R67" s="70"/>
      <c r="S67" s="70"/>
      <c r="T67" s="70"/>
      <c r="U67" s="70"/>
    </row>
    <row r="68" spans="1:21" hidden="1" x14ac:dyDescent="0.2">
      <c r="A68" s="70"/>
      <c r="B68" s="70"/>
      <c r="C68" s="70"/>
      <c r="D68" s="70"/>
      <c r="E68" s="70"/>
      <c r="F68" s="70"/>
      <c r="G68" s="70"/>
      <c r="H68" s="70"/>
      <c r="I68" s="70"/>
      <c r="J68" s="70"/>
      <c r="K68" s="70"/>
      <c r="L68" s="70"/>
      <c r="M68" s="70"/>
      <c r="N68" s="70"/>
      <c r="O68" s="70"/>
      <c r="P68" s="70"/>
      <c r="Q68" s="70"/>
      <c r="R68" s="70"/>
      <c r="S68" s="70"/>
      <c r="T68" s="70"/>
      <c r="U68" s="70"/>
    </row>
    <row r="69" spans="1:21" hidden="1" x14ac:dyDescent="0.2">
      <c r="A69" s="70"/>
      <c r="B69" s="70"/>
      <c r="C69" s="70"/>
      <c r="D69" s="70"/>
      <c r="E69" s="70"/>
      <c r="F69" s="70"/>
      <c r="G69" s="70"/>
      <c r="H69" s="70"/>
      <c r="I69" s="70"/>
      <c r="J69" s="70"/>
      <c r="K69" s="70"/>
      <c r="L69" s="70"/>
      <c r="M69" s="70"/>
      <c r="N69" s="70"/>
      <c r="O69" s="70"/>
      <c r="P69" s="70"/>
      <c r="Q69" s="70"/>
      <c r="R69" s="70"/>
      <c r="S69" s="70"/>
      <c r="T69" s="70"/>
      <c r="U69" s="70"/>
    </row>
    <row r="70" spans="1:21" hidden="1" x14ac:dyDescent="0.2">
      <c r="A70" s="70"/>
      <c r="B70" s="70"/>
      <c r="C70" s="70"/>
      <c r="D70" s="70"/>
      <c r="E70" s="70"/>
      <c r="F70" s="70"/>
      <c r="G70" s="70"/>
      <c r="H70" s="70"/>
      <c r="I70" s="70"/>
      <c r="J70" s="70"/>
      <c r="K70" s="70"/>
      <c r="L70" s="70"/>
      <c r="M70" s="70"/>
      <c r="N70" s="70"/>
      <c r="O70" s="70"/>
      <c r="P70" s="70"/>
      <c r="Q70" s="70"/>
      <c r="R70" s="70"/>
      <c r="S70" s="70"/>
      <c r="T70" s="70"/>
      <c r="U70" s="70"/>
    </row>
    <row r="71" spans="1:21" hidden="1" x14ac:dyDescent="0.2">
      <c r="A71" s="70"/>
      <c r="B71" s="70"/>
      <c r="C71" s="70"/>
      <c r="D71" s="70"/>
      <c r="E71" s="70"/>
      <c r="F71" s="70"/>
      <c r="G71" s="70"/>
      <c r="H71" s="70"/>
      <c r="I71" s="70"/>
      <c r="J71" s="70"/>
      <c r="K71" s="70"/>
      <c r="L71" s="70"/>
      <c r="M71" s="70"/>
      <c r="N71" s="70"/>
      <c r="O71" s="70"/>
      <c r="P71" s="70"/>
      <c r="Q71" s="70"/>
      <c r="R71" s="70"/>
      <c r="S71" s="70"/>
      <c r="T71" s="70"/>
      <c r="U71" s="70"/>
    </row>
    <row r="72" spans="1:21" hidden="1" x14ac:dyDescent="0.2">
      <c r="A72" s="70"/>
      <c r="B72" s="70"/>
      <c r="C72" s="70"/>
      <c r="D72" s="70"/>
      <c r="E72" s="70"/>
      <c r="F72" s="70"/>
      <c r="G72" s="70"/>
      <c r="H72" s="70"/>
      <c r="I72" s="70"/>
      <c r="J72" s="70"/>
      <c r="K72" s="70"/>
      <c r="L72" s="70"/>
      <c r="M72" s="70"/>
      <c r="N72" s="70"/>
      <c r="O72" s="70"/>
      <c r="P72" s="70"/>
      <c r="Q72" s="70"/>
      <c r="R72" s="70"/>
      <c r="S72" s="70"/>
      <c r="T72" s="70"/>
      <c r="U72" s="70"/>
    </row>
    <row r="73" spans="1:21" hidden="1" x14ac:dyDescent="0.2">
      <c r="A73" s="70"/>
      <c r="B73" s="70"/>
      <c r="C73" s="70"/>
      <c r="D73" s="70"/>
      <c r="E73" s="70"/>
      <c r="F73" s="70"/>
      <c r="G73" s="70"/>
      <c r="H73" s="70"/>
      <c r="I73" s="70"/>
      <c r="J73" s="70"/>
      <c r="K73" s="70"/>
      <c r="L73" s="70"/>
      <c r="M73" s="70"/>
      <c r="N73" s="70"/>
      <c r="O73" s="70"/>
      <c r="P73" s="70"/>
      <c r="Q73" s="70"/>
      <c r="R73" s="70"/>
      <c r="S73" s="70"/>
      <c r="T73" s="70"/>
      <c r="U73" s="70"/>
    </row>
    <row r="74" spans="1:21" hidden="1" x14ac:dyDescent="0.2">
      <c r="A74" s="70"/>
      <c r="B74" s="70"/>
      <c r="C74" s="70"/>
      <c r="D74" s="70"/>
      <c r="E74" s="70"/>
      <c r="F74" s="70"/>
      <c r="G74" s="70"/>
      <c r="H74" s="70"/>
      <c r="I74" s="70"/>
      <c r="J74" s="70"/>
      <c r="K74" s="70"/>
      <c r="L74" s="70"/>
      <c r="M74" s="70"/>
      <c r="N74" s="70"/>
      <c r="O74" s="70"/>
      <c r="P74" s="70"/>
      <c r="Q74" s="70"/>
      <c r="R74" s="70"/>
      <c r="S74" s="70"/>
      <c r="T74" s="70"/>
      <c r="U74" s="70"/>
    </row>
    <row r="75" spans="1:21" hidden="1" x14ac:dyDescent="0.2">
      <c r="A75" s="70"/>
      <c r="B75" s="70"/>
      <c r="C75" s="70"/>
      <c r="D75" s="70"/>
      <c r="E75" s="70"/>
      <c r="F75" s="70"/>
      <c r="G75" s="70"/>
      <c r="H75" s="70"/>
      <c r="I75" s="70"/>
      <c r="J75" s="70"/>
      <c r="K75" s="70"/>
      <c r="L75" s="70"/>
      <c r="M75" s="70"/>
      <c r="N75" s="70"/>
      <c r="O75" s="70"/>
      <c r="P75" s="70"/>
      <c r="Q75" s="70"/>
      <c r="R75" s="70"/>
      <c r="S75" s="70"/>
      <c r="T75" s="70"/>
      <c r="U75" s="70"/>
    </row>
    <row r="76" spans="1:21" hidden="1" x14ac:dyDescent="0.2">
      <c r="A76" s="70"/>
      <c r="B76" s="70"/>
      <c r="C76" s="70"/>
      <c r="D76" s="70"/>
      <c r="E76" s="70"/>
      <c r="F76" s="70"/>
      <c r="G76" s="70"/>
      <c r="H76" s="70"/>
      <c r="I76" s="70"/>
      <c r="J76" s="70"/>
      <c r="K76" s="70"/>
      <c r="L76" s="70"/>
      <c r="M76" s="70"/>
      <c r="N76" s="70"/>
      <c r="O76" s="70"/>
      <c r="P76" s="70"/>
      <c r="Q76" s="70"/>
      <c r="R76" s="70"/>
      <c r="S76" s="70"/>
      <c r="T76" s="70"/>
      <c r="U76" s="70"/>
    </row>
    <row r="77" spans="1:21" hidden="1" x14ac:dyDescent="0.2">
      <c r="A77" s="70"/>
      <c r="B77" s="70"/>
      <c r="C77" s="70"/>
      <c r="D77" s="70"/>
      <c r="E77" s="70"/>
      <c r="F77" s="70"/>
      <c r="G77" s="70"/>
      <c r="H77" s="70"/>
      <c r="I77" s="70"/>
      <c r="J77" s="70"/>
      <c r="K77" s="70"/>
      <c r="L77" s="70"/>
      <c r="M77" s="70"/>
      <c r="N77" s="70"/>
      <c r="O77" s="70"/>
      <c r="P77" s="70"/>
      <c r="Q77" s="70"/>
      <c r="R77" s="70"/>
      <c r="S77" s="70"/>
      <c r="T77" s="70"/>
      <c r="U77" s="70"/>
    </row>
    <row r="78" spans="1:21" hidden="1" x14ac:dyDescent="0.2">
      <c r="A78" s="70"/>
      <c r="B78" s="70"/>
      <c r="C78" s="70"/>
      <c r="D78" s="70"/>
      <c r="E78" s="70"/>
      <c r="F78" s="70"/>
      <c r="G78" s="70"/>
      <c r="H78" s="70"/>
      <c r="I78" s="70"/>
      <c r="J78" s="70"/>
      <c r="K78" s="70"/>
      <c r="L78" s="70"/>
      <c r="M78" s="70"/>
      <c r="N78" s="70"/>
      <c r="O78" s="70"/>
      <c r="P78" s="70"/>
      <c r="Q78" s="70"/>
      <c r="R78" s="70"/>
      <c r="S78" s="70"/>
      <c r="T78" s="70"/>
      <c r="U78" s="70"/>
    </row>
    <row r="79" spans="1:21" hidden="1" x14ac:dyDescent="0.2">
      <c r="A79" s="70"/>
      <c r="B79" s="70"/>
      <c r="C79" s="70"/>
      <c r="D79" s="70"/>
      <c r="E79" s="70"/>
      <c r="F79" s="70"/>
      <c r="G79" s="70"/>
      <c r="H79" s="70"/>
      <c r="I79" s="70"/>
      <c r="J79" s="70"/>
      <c r="K79" s="70"/>
      <c r="L79" s="70"/>
      <c r="M79" s="70"/>
      <c r="N79" s="70"/>
      <c r="O79" s="70"/>
      <c r="P79" s="70"/>
      <c r="Q79" s="70"/>
      <c r="R79" s="70"/>
      <c r="S79" s="70"/>
      <c r="T79" s="70"/>
      <c r="U79" s="70"/>
    </row>
    <row r="80" spans="1:21" hidden="1" x14ac:dyDescent="0.2">
      <c r="A80" s="70"/>
      <c r="B80" s="70"/>
      <c r="C80" s="70"/>
      <c r="D80" s="70"/>
      <c r="E80" s="70"/>
      <c r="F80" s="70"/>
      <c r="G80" s="70"/>
      <c r="H80" s="70"/>
      <c r="I80" s="70"/>
      <c r="J80" s="70"/>
      <c r="K80" s="70"/>
      <c r="L80" s="70"/>
      <c r="M80" s="70"/>
      <c r="N80" s="70"/>
      <c r="O80" s="70"/>
      <c r="P80" s="70"/>
      <c r="Q80" s="70"/>
      <c r="R80" s="70"/>
      <c r="S80" s="70"/>
      <c r="T80" s="70"/>
      <c r="U80" s="70"/>
    </row>
    <row r="81" spans="1:21" hidden="1" x14ac:dyDescent="0.2">
      <c r="A81" s="70"/>
      <c r="B81" s="70"/>
      <c r="C81" s="70"/>
      <c r="D81" s="70"/>
      <c r="E81" s="70"/>
      <c r="F81" s="70"/>
      <c r="G81" s="70"/>
      <c r="H81" s="70"/>
      <c r="I81" s="70"/>
      <c r="J81" s="70"/>
      <c r="K81" s="70"/>
      <c r="L81" s="70"/>
      <c r="M81" s="70"/>
      <c r="N81" s="70"/>
      <c r="O81" s="70"/>
      <c r="P81" s="70"/>
      <c r="Q81" s="70"/>
      <c r="R81" s="70"/>
      <c r="S81" s="70"/>
      <c r="T81" s="70"/>
      <c r="U81" s="70"/>
    </row>
    <row r="82" spans="1:21" hidden="1" x14ac:dyDescent="0.2">
      <c r="A82" s="70"/>
      <c r="B82" s="70"/>
      <c r="C82" s="70"/>
      <c r="D82" s="70"/>
      <c r="E82" s="70"/>
      <c r="F82" s="70"/>
      <c r="G82" s="70"/>
      <c r="H82" s="70"/>
      <c r="I82" s="70"/>
      <c r="J82" s="70"/>
      <c r="K82" s="70"/>
      <c r="L82" s="70"/>
      <c r="M82" s="70"/>
      <c r="N82" s="70"/>
      <c r="O82" s="70"/>
      <c r="P82" s="70"/>
      <c r="Q82" s="70"/>
      <c r="R82" s="70"/>
      <c r="S82" s="70"/>
      <c r="T82" s="70"/>
      <c r="U82" s="70"/>
    </row>
    <row r="83" spans="1:21" hidden="1" x14ac:dyDescent="0.2">
      <c r="A83" s="70"/>
      <c r="B83" s="70"/>
      <c r="C83" s="70"/>
      <c r="D83" s="70"/>
      <c r="E83" s="70"/>
      <c r="F83" s="70"/>
      <c r="G83" s="70"/>
      <c r="H83" s="70"/>
      <c r="I83" s="70"/>
      <c r="J83" s="70"/>
      <c r="K83" s="70"/>
      <c r="L83" s="70"/>
      <c r="M83" s="70"/>
      <c r="N83" s="70"/>
      <c r="O83" s="70"/>
      <c r="P83" s="70"/>
      <c r="Q83" s="70"/>
      <c r="R83" s="70"/>
      <c r="S83" s="70"/>
      <c r="T83" s="70"/>
      <c r="U83" s="70"/>
    </row>
    <row r="84" spans="1:21" hidden="1" x14ac:dyDescent="0.2">
      <c r="A84" s="70"/>
      <c r="B84" s="70"/>
      <c r="C84" s="70"/>
      <c r="D84" s="70"/>
      <c r="E84" s="70"/>
      <c r="F84" s="70"/>
      <c r="G84" s="70"/>
      <c r="H84" s="70"/>
      <c r="I84" s="70"/>
      <c r="J84" s="70"/>
      <c r="K84" s="70"/>
      <c r="L84" s="70"/>
      <c r="M84" s="70"/>
      <c r="N84" s="70"/>
      <c r="O84" s="70"/>
      <c r="P84" s="70"/>
      <c r="Q84" s="70"/>
      <c r="R84" s="70"/>
      <c r="S84" s="70"/>
      <c r="T84" s="70"/>
      <c r="U84" s="70"/>
    </row>
    <row r="85" spans="1:21" hidden="1" x14ac:dyDescent="0.2">
      <c r="A85" s="70"/>
      <c r="B85" s="70"/>
      <c r="C85" s="70"/>
      <c r="D85" s="70"/>
      <c r="E85" s="70"/>
      <c r="F85" s="70"/>
      <c r="G85" s="70"/>
      <c r="H85" s="70"/>
      <c r="I85" s="70"/>
      <c r="J85" s="70"/>
      <c r="K85" s="70"/>
      <c r="L85" s="70"/>
      <c r="M85" s="70"/>
      <c r="N85" s="70"/>
      <c r="O85" s="70"/>
      <c r="P85" s="70"/>
      <c r="Q85" s="70"/>
      <c r="R85" s="70"/>
      <c r="S85" s="70"/>
      <c r="T85" s="70"/>
      <c r="U85" s="70"/>
    </row>
    <row r="86" spans="1:21" hidden="1" x14ac:dyDescent="0.2">
      <c r="A86" s="70"/>
      <c r="B86" s="70"/>
      <c r="C86" s="70"/>
      <c r="D86" s="70"/>
      <c r="E86" s="70"/>
      <c r="F86" s="70"/>
      <c r="G86" s="70"/>
      <c r="H86" s="70"/>
      <c r="I86" s="70"/>
      <c r="J86" s="70"/>
      <c r="K86" s="70"/>
      <c r="L86" s="70"/>
      <c r="M86" s="70"/>
      <c r="N86" s="70"/>
      <c r="O86" s="70"/>
      <c r="P86" s="70"/>
      <c r="Q86" s="70"/>
      <c r="R86" s="70"/>
      <c r="S86" s="70"/>
      <c r="T86" s="70"/>
      <c r="U86" s="70"/>
    </row>
    <row r="87" spans="1:21" hidden="1" x14ac:dyDescent="0.2">
      <c r="A87" s="70"/>
      <c r="B87" s="70"/>
      <c r="C87" s="70"/>
      <c r="D87" s="70"/>
      <c r="E87" s="70"/>
      <c r="F87" s="70"/>
      <c r="G87" s="70"/>
      <c r="H87" s="70"/>
      <c r="I87" s="70"/>
      <c r="J87" s="70"/>
      <c r="K87" s="70"/>
      <c r="L87" s="70"/>
      <c r="M87" s="70"/>
      <c r="N87" s="70"/>
      <c r="O87" s="70"/>
      <c r="P87" s="70"/>
      <c r="Q87" s="70"/>
      <c r="R87" s="70"/>
      <c r="S87" s="70"/>
      <c r="T87" s="70"/>
      <c r="U87" s="70"/>
    </row>
    <row r="88" spans="1:21" hidden="1" x14ac:dyDescent="0.2">
      <c r="A88" s="70"/>
      <c r="B88" s="70"/>
      <c r="C88" s="70"/>
      <c r="D88" s="70"/>
      <c r="E88" s="70"/>
      <c r="F88" s="70"/>
      <c r="G88" s="70"/>
      <c r="H88" s="70"/>
      <c r="I88" s="70"/>
      <c r="J88" s="70"/>
      <c r="K88" s="70"/>
      <c r="L88" s="70"/>
      <c r="M88" s="70"/>
      <c r="N88" s="70"/>
      <c r="O88" s="70"/>
      <c r="P88" s="70"/>
      <c r="Q88" s="70"/>
      <c r="R88" s="70"/>
      <c r="S88" s="70"/>
      <c r="T88" s="70"/>
      <c r="U88" s="70"/>
    </row>
    <row r="89" spans="1:21" hidden="1" x14ac:dyDescent="0.2">
      <c r="A89" s="70"/>
      <c r="B89" s="70"/>
      <c r="C89" s="70"/>
      <c r="D89" s="70"/>
      <c r="E89" s="70"/>
      <c r="F89" s="70"/>
      <c r="G89" s="70"/>
      <c r="H89" s="70"/>
      <c r="I89" s="70"/>
      <c r="J89" s="70"/>
      <c r="K89" s="70"/>
      <c r="L89" s="70"/>
      <c r="M89" s="70"/>
      <c r="N89" s="70"/>
      <c r="O89" s="70"/>
      <c r="P89" s="70"/>
      <c r="Q89" s="70"/>
      <c r="R89" s="70"/>
      <c r="S89" s="70"/>
      <c r="T89" s="70"/>
      <c r="U89" s="70"/>
    </row>
    <row r="90" spans="1:21" hidden="1" x14ac:dyDescent="0.2">
      <c r="A90" s="70"/>
      <c r="B90" s="70"/>
      <c r="C90" s="70"/>
      <c r="D90" s="70"/>
      <c r="E90" s="70"/>
      <c r="F90" s="70"/>
      <c r="G90" s="70"/>
      <c r="H90" s="70"/>
      <c r="I90" s="70"/>
      <c r="J90" s="70"/>
      <c r="K90" s="70"/>
      <c r="L90" s="70"/>
      <c r="M90" s="70"/>
      <c r="N90" s="70"/>
      <c r="O90" s="70"/>
      <c r="P90" s="70"/>
      <c r="Q90" s="70"/>
      <c r="R90" s="70"/>
      <c r="S90" s="70"/>
      <c r="T90" s="70"/>
      <c r="U90" s="70"/>
    </row>
    <row r="91" spans="1:21" hidden="1" x14ac:dyDescent="0.2">
      <c r="A91" s="70"/>
      <c r="B91" s="70"/>
      <c r="C91" s="70"/>
      <c r="D91" s="70"/>
      <c r="E91" s="70"/>
      <c r="F91" s="70"/>
      <c r="G91" s="70"/>
      <c r="H91" s="70"/>
      <c r="I91" s="70"/>
      <c r="J91" s="70"/>
      <c r="K91" s="70"/>
      <c r="L91" s="70"/>
      <c r="M91" s="70"/>
      <c r="N91" s="70"/>
      <c r="O91" s="70"/>
      <c r="P91" s="70"/>
      <c r="Q91" s="70"/>
      <c r="R91" s="70"/>
      <c r="S91" s="70"/>
      <c r="T91" s="70"/>
      <c r="U91" s="70"/>
    </row>
    <row r="92" spans="1:21" hidden="1" x14ac:dyDescent="0.2">
      <c r="A92" s="70"/>
      <c r="B92" s="70"/>
      <c r="C92" s="70"/>
      <c r="D92" s="70"/>
      <c r="E92" s="70"/>
      <c r="F92" s="70"/>
      <c r="G92" s="70"/>
      <c r="H92" s="70"/>
      <c r="I92" s="70"/>
      <c r="J92" s="70"/>
      <c r="K92" s="70"/>
      <c r="L92" s="70"/>
      <c r="M92" s="70"/>
      <c r="N92" s="70"/>
      <c r="O92" s="70"/>
      <c r="P92" s="70"/>
      <c r="Q92" s="70"/>
      <c r="R92" s="70"/>
      <c r="S92" s="70"/>
      <c r="T92" s="70"/>
      <c r="U92" s="70"/>
    </row>
    <row r="93" spans="1:21" hidden="1" x14ac:dyDescent="0.2">
      <c r="A93" s="70"/>
      <c r="B93" s="70"/>
      <c r="C93" s="70"/>
      <c r="D93" s="70"/>
      <c r="E93" s="70"/>
      <c r="F93" s="70"/>
      <c r="G93" s="70"/>
      <c r="H93" s="70"/>
      <c r="I93" s="70"/>
      <c r="J93" s="70"/>
      <c r="K93" s="70"/>
      <c r="L93" s="70"/>
      <c r="M93" s="70"/>
      <c r="N93" s="70"/>
      <c r="O93" s="70"/>
      <c r="P93" s="70"/>
      <c r="Q93" s="70"/>
      <c r="R93" s="70"/>
      <c r="S93" s="70"/>
      <c r="T93" s="70"/>
      <c r="U93" s="70"/>
    </row>
    <row r="94" spans="1:21" hidden="1" x14ac:dyDescent="0.2">
      <c r="A94" s="70"/>
      <c r="B94" s="70"/>
      <c r="C94" s="70"/>
      <c r="D94" s="70"/>
      <c r="E94" s="70"/>
      <c r="F94" s="70"/>
      <c r="G94" s="70"/>
      <c r="H94" s="70"/>
      <c r="I94" s="70"/>
      <c r="J94" s="70"/>
      <c r="K94" s="70"/>
      <c r="L94" s="70"/>
      <c r="M94" s="70"/>
      <c r="N94" s="70"/>
      <c r="O94" s="70"/>
      <c r="P94" s="70"/>
      <c r="Q94" s="70"/>
      <c r="R94" s="70"/>
      <c r="S94" s="70"/>
      <c r="T94" s="70"/>
      <c r="U94" s="70"/>
    </row>
    <row r="95" spans="1:21" hidden="1" x14ac:dyDescent="0.2">
      <c r="A95" s="70"/>
      <c r="B95" s="70"/>
      <c r="C95" s="70"/>
      <c r="D95" s="70"/>
      <c r="E95" s="70"/>
      <c r="F95" s="70"/>
      <c r="G95" s="70"/>
      <c r="H95" s="70"/>
      <c r="I95" s="70"/>
      <c r="J95" s="70"/>
      <c r="K95" s="70"/>
      <c r="L95" s="70"/>
      <c r="M95" s="70"/>
      <c r="N95" s="70"/>
      <c r="O95" s="70"/>
      <c r="P95" s="70"/>
      <c r="Q95" s="70"/>
      <c r="R95" s="70"/>
      <c r="S95" s="70"/>
      <c r="T95" s="70"/>
      <c r="U95" s="70"/>
    </row>
    <row r="96" spans="1:21" hidden="1" x14ac:dyDescent="0.2">
      <c r="A96" s="70"/>
      <c r="B96" s="70"/>
      <c r="C96" s="70"/>
      <c r="D96" s="70"/>
      <c r="E96" s="70"/>
      <c r="F96" s="70"/>
      <c r="G96" s="70"/>
      <c r="H96" s="70"/>
      <c r="I96" s="70"/>
      <c r="J96" s="70"/>
      <c r="K96" s="70"/>
      <c r="L96" s="70"/>
      <c r="M96" s="70"/>
      <c r="N96" s="70"/>
      <c r="O96" s="70"/>
      <c r="P96" s="70"/>
      <c r="Q96" s="70"/>
      <c r="R96" s="70"/>
      <c r="S96" s="70"/>
      <c r="T96" s="70"/>
      <c r="U96" s="70"/>
    </row>
    <row r="97" spans="1:21" hidden="1" x14ac:dyDescent="0.2">
      <c r="A97" s="70"/>
      <c r="B97" s="70"/>
      <c r="C97" s="70"/>
      <c r="D97" s="70"/>
      <c r="E97" s="70"/>
      <c r="F97" s="70"/>
      <c r="G97" s="70"/>
      <c r="H97" s="70"/>
      <c r="I97" s="70"/>
      <c r="J97" s="70"/>
      <c r="K97" s="70"/>
      <c r="L97" s="70"/>
      <c r="M97" s="70"/>
      <c r="N97" s="70"/>
      <c r="O97" s="70"/>
      <c r="P97" s="70"/>
      <c r="Q97" s="70"/>
      <c r="R97" s="70"/>
      <c r="S97" s="70"/>
      <c r="T97" s="70"/>
      <c r="U97" s="70"/>
    </row>
    <row r="98" spans="1:21" ht="5.25" hidden="1" customHeight="1" x14ac:dyDescent="0.2">
      <c r="A98" s="70"/>
      <c r="B98" s="70"/>
      <c r="C98" s="70"/>
      <c r="D98" s="70"/>
      <c r="E98" s="70"/>
      <c r="F98" s="70"/>
      <c r="G98" s="70"/>
      <c r="H98" s="70"/>
      <c r="I98" s="70"/>
      <c r="J98" s="70"/>
      <c r="K98" s="70"/>
      <c r="L98" s="70"/>
      <c r="M98" s="70"/>
      <c r="N98" s="70"/>
      <c r="O98" s="70"/>
      <c r="P98" s="70"/>
      <c r="Q98" s="70"/>
      <c r="R98" s="70"/>
      <c r="S98" s="70"/>
      <c r="T98" s="70"/>
      <c r="U98" s="70"/>
    </row>
    <row r="99" spans="1:21" hidden="1" x14ac:dyDescent="0.2">
      <c r="A99" s="70"/>
      <c r="B99" s="70"/>
      <c r="C99" s="70"/>
      <c r="D99" s="70"/>
      <c r="E99" s="70"/>
      <c r="F99" s="70"/>
      <c r="G99" s="70"/>
      <c r="H99" s="70"/>
      <c r="I99" s="70"/>
      <c r="J99" s="70"/>
      <c r="K99" s="70"/>
      <c r="L99" s="70"/>
      <c r="M99" s="70"/>
      <c r="N99" s="70"/>
      <c r="O99" s="70"/>
      <c r="P99" s="70"/>
      <c r="Q99" s="70"/>
      <c r="R99" s="70"/>
      <c r="S99" s="70"/>
      <c r="T99" s="70"/>
      <c r="U99" s="70"/>
    </row>
    <row r="100" spans="1:21" hidden="1" x14ac:dyDescent="0.2">
      <c r="A100" s="70"/>
      <c r="B100" s="70"/>
      <c r="C100" s="70"/>
      <c r="D100" s="70"/>
      <c r="E100" s="70"/>
      <c r="F100" s="70"/>
      <c r="G100" s="70"/>
      <c r="H100" s="70"/>
      <c r="I100" s="70"/>
      <c r="J100" s="70"/>
      <c r="K100" s="70"/>
      <c r="L100" s="70"/>
      <c r="M100" s="70"/>
      <c r="N100" s="70"/>
      <c r="O100" s="70"/>
      <c r="P100" s="70"/>
      <c r="Q100" s="70"/>
      <c r="R100" s="70"/>
      <c r="S100" s="70"/>
      <c r="T100" s="70"/>
      <c r="U100" s="70"/>
    </row>
    <row r="101" spans="1:21" hidden="1" x14ac:dyDescent="0.2">
      <c r="A101" s="70"/>
      <c r="B101" s="70"/>
      <c r="C101" s="70"/>
      <c r="D101" s="70"/>
      <c r="E101" s="70"/>
      <c r="F101" s="70"/>
      <c r="G101" s="70"/>
      <c r="H101" s="70"/>
      <c r="I101" s="70"/>
      <c r="J101" s="70"/>
      <c r="K101" s="70"/>
      <c r="L101" s="70"/>
      <c r="M101" s="70"/>
      <c r="N101" s="70"/>
      <c r="O101" s="70"/>
      <c r="P101" s="70"/>
      <c r="Q101" s="70"/>
      <c r="R101" s="70"/>
      <c r="S101" s="70"/>
      <c r="T101" s="70"/>
      <c r="U101" s="70"/>
    </row>
    <row r="102" spans="1:21" hidden="1" x14ac:dyDescent="0.2">
      <c r="A102" s="70"/>
      <c r="B102" s="70"/>
      <c r="C102" s="70"/>
      <c r="D102" s="70"/>
      <c r="E102" s="70"/>
      <c r="F102" s="70"/>
      <c r="G102" s="70"/>
      <c r="H102" s="70"/>
      <c r="I102" s="70"/>
      <c r="J102" s="70"/>
      <c r="K102" s="70"/>
      <c r="L102" s="70"/>
      <c r="M102" s="70"/>
      <c r="N102" s="70"/>
      <c r="O102" s="70"/>
      <c r="P102" s="70"/>
      <c r="Q102" s="70"/>
      <c r="R102" s="70"/>
      <c r="S102" s="70"/>
      <c r="T102" s="70"/>
      <c r="U102" s="70"/>
    </row>
    <row r="103" spans="1:21" hidden="1" x14ac:dyDescent="0.2">
      <c r="A103" s="70"/>
      <c r="B103" s="70"/>
      <c r="C103" s="70"/>
      <c r="D103" s="70"/>
      <c r="E103" s="70"/>
      <c r="F103" s="70"/>
      <c r="G103" s="70"/>
      <c r="H103" s="70"/>
      <c r="I103" s="70"/>
      <c r="J103" s="70"/>
      <c r="K103" s="70"/>
      <c r="L103" s="70"/>
      <c r="M103" s="70"/>
      <c r="N103" s="70"/>
      <c r="O103" s="70"/>
      <c r="P103" s="70"/>
      <c r="Q103" s="70"/>
      <c r="R103" s="70"/>
      <c r="S103" s="70"/>
      <c r="T103" s="70"/>
      <c r="U103" s="70"/>
    </row>
    <row r="104" spans="1:21" hidden="1" x14ac:dyDescent="0.2">
      <c r="A104" s="70"/>
      <c r="B104" s="70"/>
      <c r="C104" s="70"/>
      <c r="D104" s="70"/>
      <c r="E104" s="70"/>
      <c r="F104" s="70"/>
      <c r="G104" s="70"/>
      <c r="H104" s="70"/>
      <c r="I104" s="70"/>
      <c r="J104" s="70"/>
      <c r="K104" s="70"/>
      <c r="L104" s="70"/>
      <c r="M104" s="70"/>
      <c r="N104" s="70"/>
      <c r="O104" s="70"/>
      <c r="P104" s="70"/>
      <c r="Q104" s="70"/>
      <c r="R104" s="70"/>
      <c r="S104" s="70"/>
      <c r="T104" s="70"/>
      <c r="U104" s="70"/>
    </row>
    <row r="105" spans="1:21" hidden="1" x14ac:dyDescent="0.2">
      <c r="A105" s="70"/>
      <c r="B105" s="70"/>
      <c r="C105" s="70"/>
      <c r="D105" s="70"/>
      <c r="E105" s="70"/>
      <c r="F105" s="70"/>
      <c r="G105" s="70"/>
      <c r="H105" s="70"/>
      <c r="I105" s="70"/>
      <c r="J105" s="70"/>
      <c r="K105" s="70"/>
      <c r="L105" s="70"/>
      <c r="M105" s="70"/>
      <c r="N105" s="70"/>
      <c r="O105" s="70"/>
      <c r="P105" s="70"/>
      <c r="Q105" s="70"/>
      <c r="R105" s="70"/>
      <c r="S105" s="70"/>
      <c r="T105" s="70"/>
      <c r="U105" s="70"/>
    </row>
    <row r="106" spans="1:21" hidden="1" x14ac:dyDescent="0.2">
      <c r="A106" s="70"/>
      <c r="B106" s="70"/>
      <c r="C106" s="70"/>
      <c r="D106" s="70"/>
      <c r="E106" s="70"/>
      <c r="F106" s="70"/>
      <c r="G106" s="70"/>
      <c r="H106" s="70"/>
      <c r="I106" s="70"/>
      <c r="J106" s="70"/>
      <c r="K106" s="70"/>
      <c r="L106" s="70"/>
      <c r="M106" s="70"/>
      <c r="N106" s="70"/>
      <c r="O106" s="70"/>
      <c r="P106" s="70"/>
      <c r="Q106" s="70"/>
      <c r="R106" s="70"/>
      <c r="S106" s="70"/>
      <c r="T106" s="70"/>
      <c r="U106" s="70"/>
    </row>
    <row r="107" spans="1:21" hidden="1" x14ac:dyDescent="0.2">
      <c r="A107" s="70"/>
      <c r="B107" s="70"/>
      <c r="C107" s="70"/>
      <c r="D107" s="70"/>
      <c r="E107" s="70"/>
      <c r="F107" s="70"/>
      <c r="G107" s="70"/>
      <c r="H107" s="70"/>
      <c r="I107" s="70"/>
      <c r="J107" s="70"/>
      <c r="K107" s="70"/>
      <c r="L107" s="70"/>
      <c r="M107" s="70"/>
      <c r="N107" s="70"/>
      <c r="O107" s="70"/>
      <c r="P107" s="70"/>
      <c r="Q107" s="70"/>
      <c r="R107" s="70"/>
      <c r="S107" s="70"/>
      <c r="T107" s="70"/>
      <c r="U107" s="70"/>
    </row>
    <row r="108" spans="1:21" hidden="1" x14ac:dyDescent="0.2">
      <c r="A108" s="70"/>
      <c r="B108" s="70"/>
      <c r="C108" s="70"/>
      <c r="D108" s="70"/>
      <c r="E108" s="70"/>
      <c r="F108" s="70"/>
      <c r="G108" s="70"/>
      <c r="H108" s="70"/>
      <c r="I108" s="70"/>
      <c r="J108" s="70"/>
      <c r="K108" s="70"/>
      <c r="L108" s="70"/>
      <c r="M108" s="70"/>
      <c r="N108" s="70"/>
      <c r="O108" s="70"/>
      <c r="P108" s="70"/>
      <c r="Q108" s="70"/>
      <c r="R108" s="70"/>
      <c r="S108" s="70"/>
      <c r="T108" s="70"/>
      <c r="U108" s="70"/>
    </row>
    <row r="109" spans="1:21" hidden="1" x14ac:dyDescent="0.2">
      <c r="A109" s="70"/>
      <c r="B109" s="70"/>
      <c r="C109" s="70"/>
      <c r="D109" s="70"/>
      <c r="E109" s="70"/>
      <c r="F109" s="70"/>
      <c r="G109" s="70"/>
      <c r="H109" s="70"/>
      <c r="I109" s="70"/>
      <c r="J109" s="70"/>
      <c r="K109" s="70"/>
      <c r="L109" s="70"/>
      <c r="M109" s="70"/>
      <c r="N109" s="70"/>
      <c r="O109" s="70"/>
      <c r="P109" s="70"/>
      <c r="Q109" s="70"/>
      <c r="R109" s="70"/>
      <c r="S109" s="70"/>
      <c r="T109" s="70"/>
      <c r="U109" s="70"/>
    </row>
    <row r="110" spans="1:21" hidden="1" x14ac:dyDescent="0.2">
      <c r="A110" s="70"/>
      <c r="B110" s="70"/>
      <c r="C110" s="70"/>
      <c r="D110" s="70"/>
      <c r="E110" s="70"/>
      <c r="F110" s="70"/>
      <c r="G110" s="70"/>
      <c r="H110" s="70"/>
      <c r="I110" s="70"/>
      <c r="J110" s="70"/>
      <c r="K110" s="70"/>
      <c r="L110" s="70"/>
      <c r="M110" s="70"/>
      <c r="N110" s="70"/>
      <c r="O110" s="70"/>
      <c r="P110" s="70"/>
      <c r="Q110" s="70"/>
      <c r="R110" s="70"/>
      <c r="S110" s="70"/>
      <c r="T110" s="70"/>
      <c r="U110" s="70"/>
    </row>
    <row r="111" spans="1:21" hidden="1" x14ac:dyDescent="0.2">
      <c r="A111" s="70"/>
      <c r="B111" s="70"/>
      <c r="C111" s="70"/>
      <c r="D111" s="70"/>
      <c r="E111" s="70"/>
      <c r="F111" s="70"/>
      <c r="G111" s="70"/>
      <c r="H111" s="70"/>
      <c r="I111" s="70"/>
      <c r="J111" s="70"/>
      <c r="K111" s="70"/>
      <c r="L111" s="70"/>
      <c r="M111" s="70"/>
      <c r="N111" s="70"/>
      <c r="O111" s="70"/>
      <c r="P111" s="70"/>
      <c r="Q111" s="70"/>
      <c r="R111" s="70"/>
      <c r="S111" s="70"/>
      <c r="T111" s="70"/>
      <c r="U111" s="70"/>
    </row>
    <row r="112" spans="1:21" ht="15" hidden="1" x14ac:dyDescent="0.3">
      <c r="A112" s="86"/>
      <c r="B112" s="86"/>
      <c r="C112" s="86"/>
      <c r="D112" s="86"/>
      <c r="E112" s="86"/>
      <c r="F112" s="86"/>
      <c r="G112" s="86"/>
      <c r="H112" s="88"/>
      <c r="I112" s="89"/>
      <c r="J112" s="86"/>
      <c r="K112" s="86"/>
      <c r="L112" s="86"/>
      <c r="M112" s="86"/>
      <c r="N112" s="86"/>
      <c r="O112" s="86"/>
      <c r="P112" s="86"/>
      <c r="Q112" s="86"/>
      <c r="R112" s="86"/>
      <c r="S112" s="86"/>
      <c r="T112" s="86"/>
      <c r="U112" s="86"/>
    </row>
    <row r="113" spans="1:21" ht="15" hidden="1" x14ac:dyDescent="0.3">
      <c r="A113" s="86"/>
      <c r="B113" s="86"/>
      <c r="C113" s="86"/>
      <c r="D113" s="86"/>
      <c r="E113" s="86"/>
      <c r="F113" s="86"/>
      <c r="G113" s="86"/>
      <c r="H113" s="86"/>
      <c r="I113" s="86"/>
      <c r="J113" s="86"/>
      <c r="K113" s="86"/>
      <c r="L113" s="86"/>
      <c r="M113" s="86"/>
      <c r="N113" s="86"/>
      <c r="O113" s="86"/>
      <c r="P113" s="86"/>
      <c r="Q113" s="86"/>
      <c r="R113" s="86"/>
      <c r="S113" s="86"/>
      <c r="T113" s="86"/>
      <c r="U113" s="86"/>
    </row>
    <row r="114" spans="1:21" ht="15" hidden="1" x14ac:dyDescent="0.3">
      <c r="A114" s="72"/>
      <c r="B114" s="72"/>
      <c r="C114" s="72"/>
      <c r="D114" s="72"/>
      <c r="E114" s="72"/>
      <c r="F114" s="72"/>
      <c r="G114" s="72" t="str">
        <f ca="1">TEXT(Grafiekblad!E5,"€ #,00")&amp;" bruto per jaar"</f>
        <v>€ 302,40 bruto per jaar</v>
      </c>
      <c r="H114" s="72"/>
      <c r="I114" s="72"/>
      <c r="J114" s="72"/>
      <c r="K114" s="72"/>
      <c r="L114" s="72"/>
      <c r="M114" s="72" t="str">
        <f ca="1">TEXT(Grafiekblad!E5/12,"€ #,00")&amp;" bruto per maand"</f>
        <v>€ 25,20 bruto per maand</v>
      </c>
      <c r="N114" s="72"/>
      <c r="O114" s="72"/>
      <c r="P114" s="72"/>
      <c r="Q114" s="72"/>
      <c r="R114" s="72"/>
      <c r="S114" s="72"/>
      <c r="T114" s="72"/>
      <c r="U114" s="72"/>
    </row>
    <row r="115" spans="1:21" ht="15" hidden="1" x14ac:dyDescent="0.3">
      <c r="A115" s="72"/>
      <c r="B115" s="72"/>
      <c r="C115" s="72"/>
      <c r="D115" s="72"/>
      <c r="E115" s="72"/>
      <c r="F115" s="72"/>
      <c r="G115" s="72" t="str">
        <f ca="1">TEXT(Grafiekblad!E5,"€ #,00")&amp;" bruto per jaar"&amp;CHAR(10)&amp;TEXT(Grafiekblad!E5/12,"€ #,00")&amp;" bruto per maand"</f>
        <v>€ 302,40 bruto per jaar
€ 25,20 bruto per maand</v>
      </c>
      <c r="H115" s="72"/>
      <c r="I115" s="72"/>
      <c r="J115" s="72"/>
      <c r="K115" s="72"/>
      <c r="L115" s="72"/>
      <c r="M115" s="72"/>
      <c r="N115" s="72"/>
      <c r="O115" s="72"/>
      <c r="P115" s="72"/>
      <c r="Q115" s="72"/>
      <c r="R115" s="72"/>
      <c r="S115" s="72"/>
      <c r="T115" s="72"/>
      <c r="U115" s="72"/>
    </row>
    <row r="116" spans="1:21" ht="15" hidden="1" x14ac:dyDescent="0.3">
      <c r="A116" s="73"/>
      <c r="B116" s="73"/>
      <c r="C116" s="73"/>
      <c r="D116" s="73"/>
      <c r="E116" s="73"/>
      <c r="F116" s="73"/>
      <c r="G116" s="73"/>
      <c r="H116" s="73"/>
      <c r="I116" s="73"/>
      <c r="J116" s="73"/>
      <c r="K116" s="73"/>
      <c r="L116" s="73"/>
      <c r="M116" s="73"/>
      <c r="N116" s="73"/>
      <c r="O116" s="73"/>
      <c r="P116" s="73"/>
      <c r="Q116" s="73"/>
      <c r="R116" s="73"/>
      <c r="S116" s="73"/>
      <c r="T116" s="73"/>
      <c r="U116" s="73"/>
    </row>
    <row r="117" spans="1:21" ht="15" hidden="1" x14ac:dyDescent="0.3">
      <c r="A117" s="73"/>
      <c r="B117" s="73"/>
      <c r="C117" s="73"/>
      <c r="D117" s="73"/>
      <c r="E117" s="73"/>
      <c r="F117" s="73"/>
      <c r="G117" s="73"/>
      <c r="H117" s="73"/>
      <c r="I117" s="73"/>
      <c r="J117" s="73"/>
      <c r="K117" s="73"/>
      <c r="L117" s="73"/>
      <c r="M117" s="73"/>
      <c r="N117" s="73"/>
      <c r="O117" s="73"/>
      <c r="P117" s="73"/>
      <c r="Q117" s="73"/>
      <c r="R117" s="73"/>
      <c r="S117" s="73"/>
      <c r="T117" s="73"/>
      <c r="U117" s="73"/>
    </row>
    <row r="118" spans="1:21" ht="15" hidden="1" x14ac:dyDescent="0.3">
      <c r="A118" s="73"/>
      <c r="B118" s="73"/>
      <c r="C118" s="73"/>
      <c r="D118" s="73"/>
      <c r="E118" s="73"/>
      <c r="F118" s="73"/>
      <c r="G118" s="73"/>
      <c r="H118" s="73"/>
      <c r="I118" s="73"/>
      <c r="J118" s="73"/>
      <c r="K118" s="73"/>
      <c r="L118" s="73"/>
      <c r="M118" s="73"/>
      <c r="N118" s="73"/>
      <c r="O118" s="73"/>
      <c r="P118" s="73"/>
      <c r="Q118" s="73"/>
      <c r="R118" s="73"/>
      <c r="S118" s="73"/>
      <c r="T118" s="73"/>
      <c r="U118" s="73"/>
    </row>
    <row r="119" spans="1:21" ht="15" hidden="1" x14ac:dyDescent="0.3">
      <c r="A119" s="73"/>
      <c r="B119" s="73"/>
      <c r="C119" s="73"/>
      <c r="D119" s="73"/>
      <c r="E119" s="73"/>
      <c r="F119" s="73"/>
      <c r="G119" s="73"/>
      <c r="H119" s="73"/>
      <c r="I119" s="73"/>
      <c r="J119" s="73"/>
      <c r="K119" s="73"/>
      <c r="L119" s="73"/>
      <c r="M119" s="73"/>
      <c r="N119" s="73"/>
      <c r="O119" s="73"/>
      <c r="P119" s="73"/>
      <c r="Q119" s="73"/>
      <c r="R119" s="73"/>
      <c r="S119" s="73"/>
      <c r="T119" s="73"/>
      <c r="U119" s="73"/>
    </row>
    <row r="120" spans="1:21" ht="15" hidden="1" x14ac:dyDescent="0.3">
      <c r="A120" s="73"/>
      <c r="B120" s="73"/>
      <c r="C120" s="73"/>
      <c r="D120" s="73"/>
      <c r="E120" s="73"/>
      <c r="F120" s="73"/>
      <c r="G120" s="73"/>
      <c r="H120" s="73"/>
      <c r="I120" s="73"/>
      <c r="J120" s="73"/>
      <c r="K120" s="73"/>
      <c r="L120" s="73"/>
      <c r="M120" s="73"/>
      <c r="N120" s="73"/>
      <c r="O120" s="73"/>
      <c r="P120" s="73"/>
      <c r="Q120" s="73"/>
      <c r="R120" s="73"/>
      <c r="S120" s="73"/>
      <c r="T120" s="73"/>
      <c r="U120" s="73"/>
    </row>
    <row r="121" spans="1:21" ht="15" hidden="1" x14ac:dyDescent="0.3">
      <c r="A121" s="74"/>
      <c r="B121" s="74"/>
      <c r="C121" s="74"/>
      <c r="D121" s="74"/>
      <c r="E121" s="74"/>
      <c r="F121" s="74"/>
      <c r="G121" s="74"/>
      <c r="H121" s="74"/>
      <c r="I121" s="74"/>
      <c r="J121" s="74"/>
      <c r="K121" s="74"/>
      <c r="L121" s="74"/>
      <c r="M121" s="74"/>
      <c r="N121" s="74"/>
      <c r="O121" s="74"/>
      <c r="P121" s="74"/>
      <c r="Q121" s="74"/>
      <c r="R121" s="74"/>
      <c r="S121" s="74"/>
      <c r="T121" s="74"/>
      <c r="U121" s="74"/>
    </row>
    <row r="122" spans="1:21" ht="15" hidden="1" x14ac:dyDescent="0.3">
      <c r="A122" s="74"/>
      <c r="B122" s="74"/>
      <c r="C122" s="74"/>
      <c r="D122" s="74"/>
      <c r="E122" s="74"/>
      <c r="F122" s="74"/>
      <c r="G122" s="74"/>
      <c r="H122" s="74"/>
      <c r="I122" s="74"/>
      <c r="J122" s="74"/>
      <c r="K122" s="74"/>
      <c r="L122" s="74"/>
      <c r="M122" s="74"/>
      <c r="N122" s="74"/>
      <c r="O122" s="74"/>
      <c r="P122" s="74"/>
      <c r="Q122" s="74"/>
      <c r="R122" s="74"/>
      <c r="S122" s="74"/>
      <c r="T122" s="74"/>
      <c r="U122" s="74"/>
    </row>
    <row r="123" spans="1:21" ht="15" hidden="1" x14ac:dyDescent="0.3">
      <c r="A123" s="74"/>
      <c r="B123" s="74"/>
      <c r="C123" s="74"/>
      <c r="D123" s="74"/>
      <c r="E123" s="74"/>
      <c r="F123" s="74"/>
      <c r="G123" s="74"/>
      <c r="H123" s="74"/>
      <c r="I123" s="74"/>
      <c r="J123" s="74"/>
      <c r="K123" s="74"/>
      <c r="L123" s="74"/>
      <c r="M123" s="74"/>
      <c r="N123" s="74"/>
      <c r="O123" s="74"/>
      <c r="P123" s="74"/>
      <c r="Q123" s="74"/>
      <c r="R123" s="74"/>
      <c r="S123" s="74"/>
      <c r="T123" s="74"/>
      <c r="U123" s="74"/>
    </row>
    <row r="124" spans="1:21" ht="15" hidden="1" x14ac:dyDescent="0.3">
      <c r="A124" s="74"/>
      <c r="B124" s="74"/>
      <c r="C124" s="74"/>
      <c r="D124" s="74"/>
      <c r="E124" s="74"/>
      <c r="F124" s="74"/>
      <c r="G124" s="74"/>
      <c r="H124" s="74"/>
      <c r="I124" s="74"/>
      <c r="J124" s="74"/>
      <c r="K124" s="74"/>
      <c r="L124" s="74"/>
      <c r="M124" s="74"/>
      <c r="N124" s="74"/>
      <c r="O124" s="74"/>
      <c r="P124" s="74"/>
      <c r="Q124" s="74"/>
      <c r="R124" s="74"/>
      <c r="S124" s="74"/>
      <c r="T124" s="74"/>
      <c r="U124" s="74"/>
    </row>
    <row r="125" spans="1:21" ht="15" hidden="1" x14ac:dyDescent="0.3">
      <c r="A125" s="74"/>
      <c r="B125" s="74"/>
      <c r="C125" s="74"/>
      <c r="D125" s="74"/>
      <c r="E125" s="74"/>
      <c r="F125" s="74"/>
      <c r="G125" s="74"/>
      <c r="H125" s="74"/>
      <c r="I125" s="74"/>
      <c r="J125" s="74"/>
      <c r="K125" s="74"/>
      <c r="L125" s="74"/>
      <c r="M125" s="74"/>
      <c r="N125" s="74"/>
      <c r="O125" s="74"/>
      <c r="P125" s="74"/>
      <c r="Q125" s="74"/>
      <c r="R125" s="74"/>
      <c r="S125" s="74"/>
      <c r="T125" s="74"/>
      <c r="U125" s="74"/>
    </row>
    <row r="126" spans="1:21" ht="15" hidden="1" x14ac:dyDescent="0.3">
      <c r="A126" s="74"/>
      <c r="B126" s="74"/>
      <c r="C126" s="74"/>
      <c r="D126" s="74"/>
      <c r="E126" s="74"/>
      <c r="F126" s="74"/>
      <c r="G126" s="74"/>
      <c r="H126" s="74"/>
      <c r="I126" s="74"/>
      <c r="J126" s="74"/>
      <c r="K126" s="74"/>
      <c r="L126" s="74"/>
      <c r="M126" s="74"/>
      <c r="N126" s="74"/>
      <c r="O126" s="74"/>
      <c r="P126" s="74"/>
      <c r="Q126" s="74"/>
      <c r="R126" s="74"/>
      <c r="S126" s="74"/>
      <c r="T126" s="74"/>
      <c r="U126" s="74"/>
    </row>
    <row r="127" spans="1:21" ht="15" hidden="1" x14ac:dyDescent="0.3">
      <c r="A127" s="74"/>
      <c r="B127" s="74"/>
      <c r="C127" s="74"/>
      <c r="D127" s="74"/>
      <c r="E127" s="74"/>
      <c r="F127" s="74"/>
      <c r="G127" s="74"/>
      <c r="H127" s="74"/>
      <c r="I127" s="74"/>
      <c r="J127" s="74"/>
      <c r="K127" s="74"/>
      <c r="L127" s="74"/>
      <c r="M127" s="74"/>
      <c r="N127" s="74"/>
      <c r="O127" s="74"/>
      <c r="P127" s="74"/>
      <c r="Q127" s="74"/>
      <c r="R127" s="74"/>
      <c r="S127" s="74"/>
      <c r="T127" s="74"/>
      <c r="U127" s="74"/>
    </row>
    <row r="128" spans="1:21" ht="3.75" hidden="1" customHeight="1" x14ac:dyDescent="0.3">
      <c r="A128" s="74"/>
      <c r="B128" s="74"/>
      <c r="C128" s="74"/>
      <c r="D128" s="74"/>
      <c r="E128" s="74"/>
      <c r="F128" s="74"/>
      <c r="G128" s="74"/>
      <c r="H128" s="74"/>
      <c r="I128" s="74"/>
      <c r="J128" s="74"/>
      <c r="K128" s="74"/>
      <c r="L128" s="74"/>
      <c r="M128" s="74"/>
      <c r="N128" s="74"/>
      <c r="O128" s="74"/>
      <c r="P128" s="74"/>
      <c r="Q128" s="74"/>
      <c r="R128" s="74"/>
      <c r="S128" s="74"/>
      <c r="T128" s="74"/>
      <c r="U128" s="74"/>
    </row>
    <row r="129" spans="1:21" ht="15" hidden="1" x14ac:dyDescent="0.3">
      <c r="A129" s="73"/>
      <c r="B129" s="73"/>
      <c r="C129" s="73"/>
      <c r="D129" s="73"/>
      <c r="E129" s="73"/>
      <c r="F129" s="73"/>
      <c r="G129" s="73"/>
      <c r="H129" s="73"/>
      <c r="I129" s="73"/>
      <c r="J129" s="73"/>
      <c r="K129" s="73"/>
      <c r="L129" s="73"/>
      <c r="M129" s="73"/>
      <c r="N129" s="73"/>
      <c r="O129" s="73"/>
      <c r="P129" s="73"/>
      <c r="Q129" s="73"/>
      <c r="R129" s="73"/>
      <c r="S129" s="73"/>
      <c r="T129" s="73"/>
    </row>
    <row r="130" spans="1:21" ht="15" hidden="1" x14ac:dyDescent="0.3">
      <c r="A130" s="73"/>
      <c r="B130" s="73"/>
      <c r="C130" s="73"/>
      <c r="D130" s="73"/>
      <c r="E130" s="73"/>
      <c r="F130" s="73"/>
      <c r="G130" s="125" t="s">
        <v>66</v>
      </c>
      <c r="H130" s="125"/>
      <c r="I130" s="125"/>
      <c r="J130" s="125"/>
      <c r="K130" s="125"/>
      <c r="L130" s="73"/>
      <c r="M130" s="125"/>
      <c r="N130" s="125"/>
      <c r="O130" s="125"/>
      <c r="P130" s="125"/>
      <c r="Q130" s="125"/>
      <c r="R130" s="73"/>
      <c r="S130" s="73"/>
      <c r="T130" s="73"/>
    </row>
    <row r="131" spans="1:21" ht="16.5" hidden="1" x14ac:dyDescent="0.3">
      <c r="A131" s="74"/>
      <c r="B131" s="74"/>
      <c r="C131" s="133" t="s">
        <v>59</v>
      </c>
      <c r="D131" s="133"/>
      <c r="E131" s="133"/>
      <c r="F131" s="74"/>
      <c r="G131" s="134"/>
      <c r="H131" s="134"/>
      <c r="I131" s="134"/>
      <c r="J131" s="134"/>
      <c r="K131" s="134"/>
      <c r="L131" s="74"/>
      <c r="M131" s="74"/>
      <c r="N131" s="74"/>
      <c r="O131" s="74"/>
      <c r="P131" s="74"/>
      <c r="Q131" s="74"/>
      <c r="R131" s="74"/>
      <c r="S131" s="74"/>
      <c r="T131" s="74"/>
      <c r="U131" s="74"/>
    </row>
    <row r="132" spans="1:21" ht="15" hidden="1" x14ac:dyDescent="0.3">
      <c r="A132" s="73"/>
      <c r="B132" s="75"/>
      <c r="C132" s="130" t="s">
        <v>60</v>
      </c>
      <c r="D132" s="130"/>
      <c r="E132" s="130"/>
      <c r="F132" s="75"/>
      <c r="G132" s="131" t="s">
        <v>67</v>
      </c>
      <c r="H132" s="131"/>
      <c r="I132" s="131"/>
      <c r="J132" s="131"/>
      <c r="K132" s="131"/>
      <c r="L132" s="75"/>
      <c r="M132" s="131"/>
      <c r="N132" s="131"/>
      <c r="O132" s="131"/>
      <c r="P132" s="131"/>
      <c r="Q132" s="131"/>
      <c r="R132" s="75"/>
      <c r="S132" s="75"/>
      <c r="T132" s="73"/>
    </row>
    <row r="133" spans="1:21" ht="15" hidden="1" x14ac:dyDescent="0.3">
      <c r="A133" s="73"/>
      <c r="B133" s="75"/>
      <c r="C133" s="130" t="s">
        <v>61</v>
      </c>
      <c r="D133" s="130"/>
      <c r="E133" s="130"/>
      <c r="F133" s="75"/>
      <c r="G133" s="131" t="s">
        <v>123</v>
      </c>
      <c r="H133" s="131"/>
      <c r="I133" s="131"/>
      <c r="J133" s="131"/>
      <c r="K133" s="131"/>
      <c r="L133" s="75"/>
      <c r="M133" s="131"/>
      <c r="N133" s="131"/>
      <c r="O133" s="131"/>
      <c r="P133" s="131"/>
      <c r="Q133" s="131"/>
      <c r="R133" s="75"/>
      <c r="S133" s="75"/>
      <c r="T133" s="73"/>
    </row>
    <row r="134" spans="1:21" ht="15" hidden="1" x14ac:dyDescent="0.3">
      <c r="A134" s="73"/>
      <c r="B134" s="75"/>
      <c r="C134" s="130" t="s">
        <v>62</v>
      </c>
      <c r="D134" s="130"/>
      <c r="E134" s="130"/>
      <c r="F134" s="75"/>
      <c r="G134" s="131" t="s">
        <v>71</v>
      </c>
      <c r="H134" s="131"/>
      <c r="I134" s="131"/>
      <c r="J134" s="131"/>
      <c r="K134" s="131"/>
      <c r="L134" s="75"/>
      <c r="M134" s="131"/>
      <c r="N134" s="131"/>
      <c r="O134" s="131"/>
      <c r="P134" s="131"/>
      <c r="Q134" s="131"/>
      <c r="R134" s="75"/>
      <c r="S134" s="75"/>
      <c r="T134" s="73"/>
    </row>
    <row r="135" spans="1:21" ht="15" hidden="1" x14ac:dyDescent="0.3">
      <c r="A135" s="73"/>
      <c r="B135" s="75"/>
      <c r="C135" s="130" t="s">
        <v>63</v>
      </c>
      <c r="D135" s="130"/>
      <c r="E135" s="130"/>
      <c r="F135" s="75"/>
      <c r="G135" s="131" t="s">
        <v>70</v>
      </c>
      <c r="H135" s="131"/>
      <c r="I135" s="131"/>
      <c r="J135" s="131"/>
      <c r="K135" s="131"/>
      <c r="L135" s="75"/>
      <c r="M135" s="131"/>
      <c r="N135" s="131"/>
      <c r="O135" s="131"/>
      <c r="P135" s="131"/>
      <c r="Q135" s="131"/>
      <c r="R135" s="75"/>
      <c r="S135" s="75"/>
      <c r="T135" s="73"/>
    </row>
    <row r="136" spans="1:21" ht="15" hidden="1" x14ac:dyDescent="0.3">
      <c r="A136" s="73"/>
      <c r="B136" s="75"/>
      <c r="C136" s="130" t="s">
        <v>64</v>
      </c>
      <c r="D136" s="130"/>
      <c r="E136" s="130"/>
      <c r="F136" s="75"/>
      <c r="G136" s="131" t="s">
        <v>82</v>
      </c>
      <c r="H136" s="131"/>
      <c r="I136" s="131"/>
      <c r="J136" s="131"/>
      <c r="K136" s="131"/>
      <c r="L136" s="75"/>
      <c r="M136" s="131"/>
      <c r="N136" s="131"/>
      <c r="O136" s="131"/>
      <c r="P136" s="131"/>
      <c r="Q136" s="131"/>
      <c r="R136" s="75"/>
      <c r="S136" s="75"/>
      <c r="T136" s="73"/>
    </row>
    <row r="137" spans="1:21" ht="15" hidden="1" x14ac:dyDescent="0.3">
      <c r="A137" s="73"/>
      <c r="B137" s="75"/>
      <c r="C137" s="76"/>
      <c r="D137" s="76"/>
      <c r="E137" s="76"/>
      <c r="F137" s="75"/>
      <c r="G137" s="77">
        <f>MIN(Inkomen,Max_SV)</f>
        <v>40000</v>
      </c>
      <c r="H137" s="77"/>
      <c r="I137" s="77"/>
      <c r="J137" s="77"/>
      <c r="K137" s="77"/>
      <c r="L137" s="75"/>
      <c r="M137" s="77"/>
      <c r="N137" s="77"/>
      <c r="O137" s="77"/>
      <c r="P137" s="77"/>
      <c r="Q137" s="77"/>
      <c r="R137" s="75"/>
      <c r="S137" s="75"/>
      <c r="T137" s="73"/>
    </row>
    <row r="138" spans="1:21" ht="15" hidden="1" x14ac:dyDescent="0.3">
      <c r="A138" s="73"/>
      <c r="B138" s="75"/>
      <c r="C138" s="130" t="s">
        <v>65</v>
      </c>
      <c r="D138" s="130"/>
      <c r="E138" s="130"/>
      <c r="F138" s="75"/>
      <c r="G138" s="131" t="s">
        <v>125</v>
      </c>
      <c r="H138" s="131"/>
      <c r="I138" s="131"/>
      <c r="J138" s="131"/>
      <c r="K138" s="131"/>
      <c r="L138" s="75"/>
      <c r="M138" s="131"/>
      <c r="N138" s="131"/>
      <c r="O138" s="131"/>
      <c r="P138" s="131"/>
      <c r="Q138" s="131"/>
      <c r="R138" s="75"/>
      <c r="S138" s="75"/>
      <c r="T138" s="73"/>
    </row>
    <row r="139" spans="1:21" ht="15" hidden="1" x14ac:dyDescent="0.3">
      <c r="A139" s="73"/>
      <c r="B139" s="73"/>
      <c r="C139" s="73"/>
      <c r="D139" s="73"/>
      <c r="E139" s="73"/>
      <c r="F139" s="73"/>
      <c r="G139" s="73"/>
      <c r="H139" s="73"/>
      <c r="I139" s="73"/>
      <c r="J139" s="73"/>
      <c r="K139" s="73"/>
      <c r="L139" s="73"/>
      <c r="M139" s="73"/>
      <c r="N139" s="73"/>
      <c r="O139" s="73"/>
      <c r="P139" s="73"/>
      <c r="Q139" s="73"/>
      <c r="R139" s="73"/>
      <c r="S139" s="73"/>
      <c r="T139" s="73"/>
    </row>
    <row r="140" spans="1:21" ht="15" hidden="1" x14ac:dyDescent="0.3">
      <c r="A140" s="73"/>
      <c r="B140" s="73"/>
      <c r="C140" s="124" t="s">
        <v>72</v>
      </c>
      <c r="D140" s="124"/>
      <c r="E140" s="124"/>
      <c r="F140" s="73"/>
      <c r="G140" s="125" t="str">
        <f ca="1">TEXT(Grafiekblad!E3,"€ #,00")&amp;" bruto per jaar"</f>
        <v>€ 302,40 bruto per jaar</v>
      </c>
      <c r="H140" s="125"/>
      <c r="I140" s="125"/>
      <c r="J140" s="125"/>
      <c r="K140" s="125"/>
      <c r="L140" s="73"/>
      <c r="M140" s="125"/>
      <c r="N140" s="125"/>
      <c r="O140" s="125"/>
      <c r="P140" s="125"/>
      <c r="Q140" s="125"/>
      <c r="R140" s="73"/>
      <c r="S140" s="73"/>
      <c r="T140" s="73"/>
    </row>
    <row r="141" spans="1:21" ht="3.75" hidden="1" customHeight="1" x14ac:dyDescent="0.3">
      <c r="A141" s="72"/>
      <c r="B141" s="72"/>
      <c r="C141" s="72"/>
      <c r="D141" s="72"/>
      <c r="E141" s="72"/>
      <c r="F141" s="72"/>
      <c r="G141" s="72"/>
      <c r="H141" s="72"/>
      <c r="I141" s="72"/>
      <c r="J141" s="72"/>
      <c r="K141" s="72"/>
      <c r="L141" s="72"/>
      <c r="M141" s="72"/>
      <c r="N141" s="72"/>
      <c r="O141" s="72"/>
      <c r="P141" s="72"/>
      <c r="Q141" s="72"/>
      <c r="R141" s="72"/>
      <c r="S141" s="72"/>
      <c r="T141" s="72"/>
      <c r="U141" s="72"/>
    </row>
    <row r="142" spans="1:21" ht="16.5" hidden="1" x14ac:dyDescent="0.3">
      <c r="A142" s="74"/>
      <c r="B142" s="74"/>
      <c r="C142" s="133" t="s">
        <v>73</v>
      </c>
      <c r="D142" s="133"/>
      <c r="E142" s="133"/>
      <c r="F142" s="74"/>
      <c r="G142" s="134"/>
      <c r="H142" s="134"/>
      <c r="I142" s="134"/>
      <c r="J142" s="134"/>
      <c r="K142" s="134"/>
      <c r="L142" s="74"/>
      <c r="M142" s="74"/>
      <c r="N142" s="74"/>
      <c r="O142" s="74"/>
      <c r="P142" s="74"/>
      <c r="Q142" s="74"/>
      <c r="R142" s="74"/>
      <c r="S142" s="74"/>
      <c r="T142" s="74"/>
      <c r="U142" s="74"/>
    </row>
    <row r="143" spans="1:21" ht="15" hidden="1" x14ac:dyDescent="0.3">
      <c r="A143" s="73"/>
      <c r="B143" s="75"/>
      <c r="C143" s="130" t="s">
        <v>60</v>
      </c>
      <c r="D143" s="130"/>
      <c r="E143" s="130"/>
      <c r="F143" s="75"/>
      <c r="G143" s="131" t="s">
        <v>67</v>
      </c>
      <c r="H143" s="131"/>
      <c r="I143" s="131"/>
      <c r="J143" s="131"/>
      <c r="K143" s="131"/>
      <c r="L143" s="75"/>
      <c r="M143" s="131"/>
      <c r="N143" s="131"/>
      <c r="O143" s="131"/>
      <c r="P143" s="131"/>
      <c r="Q143" s="131"/>
      <c r="R143" s="75"/>
      <c r="S143" s="75"/>
      <c r="T143" s="73"/>
    </row>
    <row r="144" spans="1:21" ht="15" hidden="1" x14ac:dyDescent="0.3">
      <c r="A144" s="73"/>
      <c r="B144" s="75"/>
      <c r="C144" s="130" t="s">
        <v>61</v>
      </c>
      <c r="D144" s="130"/>
      <c r="E144" s="130"/>
      <c r="F144" s="75"/>
      <c r="G144" s="131" t="s">
        <v>68</v>
      </c>
      <c r="H144" s="131"/>
      <c r="I144" s="131"/>
      <c r="J144" s="131"/>
      <c r="K144" s="131"/>
      <c r="L144" s="75"/>
      <c r="M144" s="131"/>
      <c r="N144" s="131"/>
      <c r="O144" s="131"/>
      <c r="P144" s="131"/>
      <c r="Q144" s="131"/>
      <c r="R144" s="75"/>
      <c r="S144" s="75"/>
      <c r="T144" s="73"/>
    </row>
    <row r="145" spans="1:21" ht="15" hidden="1" x14ac:dyDescent="0.3">
      <c r="A145" s="73"/>
      <c r="B145" s="75"/>
      <c r="C145" s="130" t="s">
        <v>62</v>
      </c>
      <c r="D145" s="130"/>
      <c r="E145" s="130"/>
      <c r="F145" s="75"/>
      <c r="G145" s="131" t="s">
        <v>69</v>
      </c>
      <c r="H145" s="131"/>
      <c r="I145" s="131"/>
      <c r="J145" s="131"/>
      <c r="K145" s="131"/>
      <c r="L145" s="75"/>
      <c r="M145" s="131"/>
      <c r="N145" s="131"/>
      <c r="O145" s="131"/>
      <c r="P145" s="131"/>
      <c r="Q145" s="131"/>
      <c r="R145" s="75"/>
      <c r="S145" s="75"/>
      <c r="T145" s="73"/>
    </row>
    <row r="146" spans="1:21" ht="15" hidden="1" x14ac:dyDescent="0.3">
      <c r="A146" s="73"/>
      <c r="B146" s="75"/>
      <c r="C146" s="130" t="s">
        <v>63</v>
      </c>
      <c r="D146" s="130"/>
      <c r="E146" s="130"/>
      <c r="F146" s="75"/>
      <c r="G146" s="132">
        <v>0.02</v>
      </c>
      <c r="H146" s="131"/>
      <c r="I146" s="131"/>
      <c r="J146" s="131"/>
      <c r="K146" s="131"/>
      <c r="L146" s="75"/>
      <c r="M146" s="131"/>
      <c r="N146" s="131"/>
      <c r="O146" s="131"/>
      <c r="P146" s="131"/>
      <c r="Q146" s="131"/>
      <c r="R146" s="75"/>
      <c r="S146" s="75"/>
      <c r="T146" s="73"/>
    </row>
    <row r="147" spans="1:21" ht="31.5" hidden="1" customHeight="1" x14ac:dyDescent="0.3">
      <c r="A147" s="73"/>
      <c r="B147" s="75"/>
      <c r="C147" s="128" t="s">
        <v>74</v>
      </c>
      <c r="D147" s="128"/>
      <c r="E147" s="128"/>
      <c r="F147" s="75"/>
      <c r="G147" s="129" t="s">
        <v>75</v>
      </c>
      <c r="H147" s="129"/>
      <c r="I147" s="129"/>
      <c r="J147" s="129"/>
      <c r="K147" s="129"/>
      <c r="L147" s="75"/>
      <c r="M147" s="129"/>
      <c r="N147" s="129"/>
      <c r="O147" s="129"/>
      <c r="P147" s="129"/>
      <c r="Q147" s="129"/>
      <c r="R147" s="75"/>
      <c r="S147" s="75"/>
      <c r="T147" s="73"/>
    </row>
    <row r="148" spans="1:21" ht="31.5" hidden="1" customHeight="1" x14ac:dyDescent="0.3">
      <c r="A148" s="73"/>
      <c r="B148" s="75"/>
      <c r="C148" s="78"/>
      <c r="D148" s="78"/>
      <c r="E148" s="78"/>
      <c r="F148" s="75"/>
      <c r="G148" s="79">
        <f>Inkomen</f>
        <v>40000</v>
      </c>
      <c r="H148" s="79"/>
      <c r="I148" s="79"/>
      <c r="J148" s="79"/>
      <c r="K148" s="79"/>
      <c r="L148" s="75"/>
      <c r="M148" s="80"/>
      <c r="N148" s="79"/>
      <c r="O148" s="79"/>
      <c r="P148" s="79"/>
      <c r="Q148" s="79"/>
      <c r="R148" s="75"/>
      <c r="S148" s="75"/>
      <c r="T148" s="73"/>
    </row>
    <row r="149" spans="1:21" ht="48" hidden="1" customHeight="1" x14ac:dyDescent="0.3">
      <c r="A149" s="73"/>
      <c r="B149" s="75"/>
      <c r="C149" s="128" t="s">
        <v>76</v>
      </c>
      <c r="D149" s="128"/>
      <c r="E149" s="128"/>
      <c r="F149" s="75"/>
      <c r="G149" s="129" t="s">
        <v>77</v>
      </c>
      <c r="H149" s="129"/>
      <c r="I149" s="129"/>
      <c r="J149" s="129"/>
      <c r="K149" s="129"/>
      <c r="L149" s="75"/>
      <c r="M149" s="129"/>
      <c r="N149" s="129"/>
      <c r="O149" s="129"/>
      <c r="P149" s="129"/>
      <c r="Q149" s="129"/>
      <c r="R149" s="75"/>
      <c r="S149" s="75"/>
      <c r="T149" s="73"/>
    </row>
    <row r="150" spans="1:21" ht="15" hidden="1" x14ac:dyDescent="0.3">
      <c r="A150" s="73"/>
      <c r="B150" s="75"/>
      <c r="C150" s="78"/>
      <c r="D150" s="78"/>
      <c r="E150" s="78"/>
      <c r="F150" s="75"/>
      <c r="G150" s="79">
        <f>70%*(MAX(0,G148-Max_SV))</f>
        <v>0</v>
      </c>
      <c r="H150" s="79"/>
      <c r="I150" s="79"/>
      <c r="J150" s="79"/>
      <c r="K150" s="79"/>
      <c r="L150" s="75"/>
      <c r="M150" s="79"/>
      <c r="N150" s="79"/>
      <c r="O150" s="79"/>
      <c r="P150" s="79"/>
      <c r="Q150" s="79"/>
      <c r="R150" s="75"/>
      <c r="S150" s="75"/>
      <c r="T150" s="73"/>
    </row>
    <row r="151" spans="1:21" ht="15" hidden="1" x14ac:dyDescent="0.3">
      <c r="A151" s="73"/>
      <c r="B151" s="75"/>
      <c r="C151" s="130" t="s">
        <v>65</v>
      </c>
      <c r="D151" s="130"/>
      <c r="E151" s="130"/>
      <c r="F151" s="75"/>
      <c r="G151" s="131" t="s">
        <v>124</v>
      </c>
      <c r="H151" s="131"/>
      <c r="I151" s="131"/>
      <c r="J151" s="131"/>
      <c r="K151" s="131"/>
      <c r="L151" s="75"/>
      <c r="M151" s="131"/>
      <c r="N151" s="131"/>
      <c r="O151" s="131"/>
      <c r="P151" s="131"/>
      <c r="Q151" s="131"/>
      <c r="R151" s="75"/>
      <c r="S151" s="75"/>
      <c r="T151" s="73"/>
    </row>
    <row r="152" spans="1:21" ht="15" hidden="1" x14ac:dyDescent="0.3">
      <c r="A152" s="73"/>
      <c r="B152" s="73"/>
      <c r="C152" s="73"/>
      <c r="D152" s="73"/>
      <c r="E152" s="73"/>
      <c r="F152" s="73"/>
      <c r="G152" s="73"/>
      <c r="H152" s="73"/>
      <c r="I152" s="73"/>
      <c r="J152" s="73"/>
      <c r="K152" s="73"/>
      <c r="L152" s="73"/>
      <c r="M152" s="73"/>
      <c r="N152" s="73"/>
      <c r="O152" s="73"/>
      <c r="P152" s="73"/>
      <c r="Q152" s="73"/>
      <c r="R152" s="73"/>
      <c r="S152" s="73"/>
      <c r="T152" s="73"/>
    </row>
    <row r="153" spans="1:21" ht="15" hidden="1" x14ac:dyDescent="0.3">
      <c r="A153" s="73"/>
      <c r="B153" s="73"/>
      <c r="C153" s="124" t="s">
        <v>72</v>
      </c>
      <c r="D153" s="124"/>
      <c r="E153" s="124"/>
      <c r="F153" s="73"/>
      <c r="G153" s="125" t="str">
        <f ca="1">IF(Grafiekblad!E4=0,"Bij dit salaris geen dekking",TEXT(Grafiekblad!E4,"€ #,00")&amp;" bruto per jaar")</f>
        <v>Bij dit salaris geen dekking</v>
      </c>
      <c r="H153" s="125"/>
      <c r="I153" s="125"/>
      <c r="J153" s="125"/>
      <c r="K153" s="125"/>
      <c r="L153" s="73"/>
      <c r="M153" s="125"/>
      <c r="N153" s="125"/>
      <c r="O153" s="125"/>
      <c r="P153" s="125"/>
      <c r="Q153" s="125"/>
      <c r="R153" s="73"/>
      <c r="S153" s="73"/>
      <c r="T153" s="73"/>
    </row>
    <row r="154" spans="1:21" x14ac:dyDescent="0.2">
      <c r="A154" s="90"/>
      <c r="B154" s="90"/>
      <c r="C154" s="90"/>
      <c r="D154" s="90"/>
      <c r="E154" s="90"/>
      <c r="F154" s="90"/>
      <c r="G154" s="90"/>
      <c r="H154" s="90"/>
      <c r="I154" s="90"/>
      <c r="J154" s="90"/>
      <c r="K154" s="90"/>
      <c r="L154" s="90"/>
      <c r="M154" s="90"/>
      <c r="N154" s="90"/>
      <c r="O154" s="90"/>
      <c r="P154" s="90"/>
      <c r="Q154" s="90"/>
      <c r="R154" s="90"/>
      <c r="S154" s="90"/>
      <c r="T154" s="90"/>
      <c r="U154" s="90"/>
    </row>
    <row r="155" spans="1:21" hidden="1" x14ac:dyDescent="0.2">
      <c r="A155" s="90"/>
      <c r="B155" s="90"/>
      <c r="C155" s="90"/>
      <c r="D155" s="90"/>
      <c r="E155" s="90"/>
      <c r="F155" s="90"/>
      <c r="G155" s="90"/>
      <c r="H155" s="90"/>
      <c r="I155" s="90"/>
      <c r="J155" s="90"/>
      <c r="K155" s="90"/>
      <c r="L155" s="90"/>
      <c r="M155" s="90"/>
      <c r="N155" s="90"/>
      <c r="O155" s="90"/>
      <c r="P155" s="90"/>
      <c r="Q155" s="90"/>
      <c r="R155" s="90"/>
      <c r="S155" s="90"/>
      <c r="T155" s="90"/>
      <c r="U155" s="90"/>
    </row>
    <row r="156" spans="1:21" ht="15" hidden="1" x14ac:dyDescent="0.3">
      <c r="A156" s="85"/>
      <c r="B156" s="85"/>
      <c r="C156" s="85"/>
      <c r="D156" s="85"/>
      <c r="E156" s="85"/>
      <c r="F156" s="85"/>
      <c r="G156" s="85"/>
      <c r="H156" s="85"/>
      <c r="I156" s="85"/>
      <c r="J156" s="85"/>
      <c r="K156" s="85"/>
      <c r="L156" s="85"/>
      <c r="M156" s="85"/>
      <c r="N156" s="85"/>
      <c r="O156" s="85"/>
      <c r="P156" s="85"/>
      <c r="Q156" s="85"/>
      <c r="R156" s="85"/>
      <c r="S156" s="85"/>
      <c r="T156" s="85"/>
      <c r="U156" s="85"/>
    </row>
    <row r="157" spans="1:21" ht="15" x14ac:dyDescent="0.3">
      <c r="A157" s="85"/>
      <c r="B157" s="85"/>
      <c r="C157" s="85"/>
      <c r="D157" s="85"/>
      <c r="E157" s="85"/>
      <c r="F157" s="85"/>
      <c r="G157" s="85"/>
      <c r="H157" s="85"/>
      <c r="I157" s="85"/>
      <c r="J157" s="85"/>
      <c r="K157" s="85"/>
      <c r="L157" s="85"/>
      <c r="M157" s="85"/>
      <c r="N157" s="85"/>
      <c r="O157" s="85"/>
      <c r="P157" s="85"/>
      <c r="Q157" s="85"/>
      <c r="R157" s="85"/>
      <c r="S157" s="85"/>
      <c r="T157" s="85"/>
      <c r="U157" s="85"/>
    </row>
    <row r="158" spans="1:21" ht="15" x14ac:dyDescent="0.3">
      <c r="A158" s="85"/>
      <c r="B158" s="85"/>
      <c r="C158" s="85"/>
      <c r="D158" s="85"/>
      <c r="E158" s="85"/>
      <c r="F158" s="85"/>
      <c r="G158" s="85"/>
      <c r="H158" s="85"/>
      <c r="I158" s="85"/>
      <c r="J158" s="85"/>
      <c r="K158" s="85"/>
      <c r="L158" s="85"/>
      <c r="M158" s="85"/>
      <c r="N158" s="85"/>
      <c r="O158" s="85"/>
      <c r="P158" s="85"/>
      <c r="Q158" s="85"/>
      <c r="R158" s="85"/>
      <c r="S158" s="85"/>
      <c r="T158" s="85"/>
      <c r="U158" s="85"/>
    </row>
    <row r="159" spans="1:21" ht="15" x14ac:dyDescent="0.3">
      <c r="A159" s="85"/>
      <c r="B159" s="85"/>
      <c r="C159" s="85"/>
      <c r="D159" s="85"/>
      <c r="E159" s="85"/>
      <c r="F159" s="85"/>
      <c r="G159" s="85"/>
      <c r="H159" s="85"/>
      <c r="I159" s="85"/>
      <c r="J159" s="85"/>
      <c r="K159" s="85"/>
      <c r="L159" s="85"/>
      <c r="M159" s="85"/>
      <c r="N159" s="85"/>
      <c r="O159" s="85"/>
      <c r="P159" s="85"/>
      <c r="Q159" s="85"/>
      <c r="R159" s="85"/>
      <c r="S159" s="85"/>
      <c r="T159" s="85"/>
      <c r="U159" s="85"/>
    </row>
    <row r="160" spans="1:21" ht="15" x14ac:dyDescent="0.3">
      <c r="A160" s="85"/>
      <c r="B160" s="85"/>
      <c r="C160" s="85"/>
      <c r="D160" s="85"/>
      <c r="E160" s="85"/>
      <c r="F160" s="85"/>
      <c r="G160" s="85"/>
      <c r="H160" s="85"/>
      <c r="I160" s="85"/>
      <c r="J160" s="85"/>
      <c r="K160" s="85"/>
      <c r="L160" s="85"/>
      <c r="M160" s="85"/>
      <c r="N160" s="85"/>
      <c r="O160" s="85"/>
      <c r="P160" s="85"/>
      <c r="Q160" s="85"/>
      <c r="R160" s="85"/>
      <c r="S160" s="85"/>
      <c r="T160" s="85"/>
      <c r="U160" s="85"/>
    </row>
    <row r="161" spans="1:21" ht="15" hidden="1" x14ac:dyDescent="0.3">
      <c r="A161" s="72"/>
      <c r="B161" s="72"/>
      <c r="C161" s="72"/>
      <c r="D161" s="72"/>
      <c r="E161" s="72"/>
      <c r="F161" s="72"/>
      <c r="G161" s="72"/>
      <c r="H161" s="72"/>
      <c r="I161" s="72"/>
      <c r="J161" s="72"/>
      <c r="K161" s="72"/>
      <c r="L161" s="72"/>
      <c r="M161" s="72"/>
      <c r="N161" s="72"/>
      <c r="O161" s="72"/>
      <c r="P161" s="72"/>
      <c r="Q161" s="72"/>
      <c r="R161" s="72"/>
      <c r="S161" s="72"/>
      <c r="T161" s="72"/>
    </row>
    <row r="162" spans="1:21" ht="15" hidden="1" x14ac:dyDescent="0.3">
      <c r="A162" s="72"/>
      <c r="B162" s="72"/>
      <c r="C162" s="72"/>
      <c r="D162" s="72"/>
      <c r="E162" s="72"/>
      <c r="F162" s="72"/>
      <c r="G162" s="72"/>
      <c r="H162" s="72"/>
      <c r="I162" s="72"/>
      <c r="J162" s="72"/>
      <c r="K162" s="72"/>
      <c r="L162" s="72"/>
      <c r="M162" s="72"/>
      <c r="N162" s="72"/>
      <c r="O162" s="72"/>
      <c r="P162" s="72"/>
      <c r="Q162" s="72"/>
      <c r="R162" s="72"/>
      <c r="S162" s="72"/>
      <c r="T162" s="72"/>
    </row>
    <row r="163" spans="1:21" x14ac:dyDescent="0.2">
      <c r="A163" s="84"/>
      <c r="B163" s="84"/>
      <c r="C163" s="84"/>
      <c r="D163" s="84"/>
      <c r="E163" s="84"/>
      <c r="F163" s="84"/>
      <c r="G163" s="84"/>
      <c r="H163" s="84"/>
      <c r="I163" s="84"/>
      <c r="J163" s="84"/>
      <c r="K163" s="84"/>
      <c r="L163" s="84"/>
      <c r="M163" s="84"/>
      <c r="N163" s="84"/>
      <c r="O163" s="84"/>
      <c r="P163" s="84"/>
      <c r="Q163" s="84"/>
      <c r="R163" s="84"/>
      <c r="S163" s="84"/>
      <c r="T163" s="84"/>
      <c r="U163" s="84"/>
    </row>
    <row r="164" spans="1:21" x14ac:dyDescent="0.2">
      <c r="A164" s="84"/>
      <c r="B164" s="84"/>
      <c r="C164" s="84"/>
      <c r="D164" s="84"/>
      <c r="E164" s="84"/>
      <c r="F164" s="84"/>
      <c r="G164" s="84"/>
      <c r="H164" s="84"/>
      <c r="I164" s="84"/>
      <c r="J164" s="84"/>
      <c r="K164" s="84"/>
      <c r="L164" s="84"/>
      <c r="M164" s="84"/>
      <c r="N164" s="84"/>
      <c r="O164" s="84"/>
      <c r="P164" s="84"/>
      <c r="Q164" s="84"/>
      <c r="R164" s="84"/>
      <c r="S164" s="84"/>
      <c r="T164" s="84"/>
      <c r="U164" s="84"/>
    </row>
    <row r="165" spans="1:21" x14ac:dyDescent="0.2">
      <c r="A165" s="84"/>
      <c r="B165" s="84"/>
      <c r="C165" s="84"/>
      <c r="D165" s="84"/>
      <c r="E165" s="84"/>
      <c r="F165" s="84"/>
      <c r="G165" s="84"/>
      <c r="H165" s="84"/>
      <c r="I165" s="84"/>
      <c r="J165" s="84"/>
      <c r="K165" s="84"/>
      <c r="L165" s="84"/>
      <c r="M165" s="84"/>
      <c r="N165" s="84"/>
      <c r="O165" s="84"/>
      <c r="P165" s="84"/>
      <c r="Q165" s="84"/>
      <c r="R165" s="84"/>
      <c r="S165" s="84"/>
      <c r="T165" s="84"/>
      <c r="U165" s="84"/>
    </row>
    <row r="166" spans="1:21" x14ac:dyDescent="0.2">
      <c r="A166" s="84"/>
      <c r="B166" s="84"/>
      <c r="C166" s="84"/>
      <c r="D166" s="84"/>
      <c r="E166" s="84"/>
      <c r="F166" s="84"/>
      <c r="G166" s="84"/>
      <c r="H166" s="84"/>
      <c r="I166" s="92"/>
      <c r="J166" s="84"/>
      <c r="K166" s="84"/>
      <c r="L166" s="84"/>
      <c r="M166" s="84"/>
      <c r="N166" s="84"/>
      <c r="O166" s="84"/>
      <c r="P166" s="84"/>
      <c r="Q166" s="84"/>
      <c r="R166" s="84"/>
      <c r="S166" s="84"/>
      <c r="T166" s="84"/>
      <c r="U166" s="84"/>
    </row>
    <row r="167" spans="1:21" x14ac:dyDescent="0.2">
      <c r="A167" s="84"/>
      <c r="B167" s="84"/>
      <c r="C167" s="84"/>
      <c r="D167" s="84"/>
      <c r="E167" s="84"/>
      <c r="F167" s="84"/>
      <c r="G167" s="84"/>
      <c r="H167" s="84"/>
      <c r="I167" s="84"/>
      <c r="J167" s="84"/>
      <c r="K167" s="84"/>
      <c r="L167" s="84"/>
      <c r="M167" s="84"/>
      <c r="N167" s="84"/>
      <c r="O167" s="84"/>
      <c r="P167" s="84"/>
      <c r="Q167" s="84"/>
      <c r="R167" s="84"/>
      <c r="S167" s="84"/>
      <c r="T167" s="84"/>
      <c r="U167" s="84"/>
    </row>
    <row r="168" spans="1:21" ht="13.5" thickBot="1" x14ac:dyDescent="0.25">
      <c r="A168" s="93"/>
      <c r="B168" s="93"/>
      <c r="C168" s="93"/>
      <c r="D168" s="93"/>
      <c r="E168" s="93"/>
      <c r="F168" s="93"/>
      <c r="G168" s="93"/>
      <c r="H168" s="93"/>
      <c r="I168" s="93"/>
      <c r="J168" s="93"/>
      <c r="K168" s="93"/>
      <c r="L168" s="93"/>
      <c r="M168" s="93"/>
      <c r="N168" s="93"/>
      <c r="O168" s="93"/>
      <c r="P168" s="93"/>
      <c r="Q168" s="93"/>
      <c r="R168" s="93"/>
      <c r="S168" s="93"/>
      <c r="T168" s="93"/>
      <c r="U168" s="93"/>
    </row>
    <row r="169" spans="1:21" ht="15" x14ac:dyDescent="0.3">
      <c r="A169" s="33"/>
      <c r="B169" s="33"/>
      <c r="C169" s="33"/>
      <c r="D169" s="33"/>
      <c r="E169" s="33"/>
      <c r="F169" s="33"/>
      <c r="G169" s="33"/>
      <c r="H169" s="33"/>
      <c r="I169" s="33"/>
      <c r="J169" s="33"/>
      <c r="K169" s="95"/>
      <c r="L169" s="33"/>
      <c r="M169" s="33"/>
      <c r="N169" s="33"/>
      <c r="O169" s="33"/>
      <c r="P169" s="33"/>
      <c r="Q169" s="33"/>
      <c r="R169" s="33"/>
      <c r="S169" s="33"/>
      <c r="T169" s="33"/>
      <c r="U169" s="33"/>
    </row>
    <row r="170" spans="1:21" ht="15" x14ac:dyDescent="0.3">
      <c r="A170" s="33"/>
      <c r="B170" s="33"/>
      <c r="C170" s="33"/>
      <c r="D170" s="33"/>
      <c r="E170" s="33"/>
      <c r="F170" s="33"/>
      <c r="G170" s="33"/>
      <c r="H170" s="33"/>
      <c r="I170" s="33"/>
      <c r="J170" s="33"/>
      <c r="K170" s="96"/>
      <c r="L170" s="33"/>
      <c r="M170" s="33"/>
      <c r="N170" s="33"/>
      <c r="O170" s="33"/>
      <c r="P170" s="33"/>
      <c r="Q170" s="33"/>
      <c r="R170" s="33"/>
      <c r="S170" s="33"/>
      <c r="T170" s="33"/>
      <c r="U170" s="33"/>
    </row>
    <row r="171" spans="1:21" ht="15" x14ac:dyDescent="0.3">
      <c r="A171" s="33"/>
      <c r="B171" s="33"/>
      <c r="C171" s="33"/>
      <c r="D171" s="33"/>
      <c r="E171" s="33"/>
      <c r="F171" s="33"/>
      <c r="G171" s="33"/>
      <c r="H171" s="33"/>
      <c r="I171" s="33"/>
      <c r="J171" s="33"/>
      <c r="K171" s="96"/>
      <c r="L171" s="33"/>
      <c r="M171" s="33"/>
      <c r="N171" s="33"/>
      <c r="O171" s="33"/>
      <c r="P171" s="33"/>
      <c r="Q171" s="33"/>
      <c r="R171" s="33"/>
      <c r="S171" s="33"/>
      <c r="T171" s="33"/>
      <c r="U171" s="33"/>
    </row>
    <row r="172" spans="1:21" ht="15" x14ac:dyDescent="0.3">
      <c r="A172" s="33"/>
      <c r="B172" s="33"/>
      <c r="C172" s="33"/>
      <c r="D172" s="33"/>
      <c r="E172" s="33"/>
      <c r="F172" s="33"/>
      <c r="G172" s="33"/>
      <c r="H172" s="33"/>
      <c r="I172" s="33"/>
      <c r="J172" s="33"/>
      <c r="K172" s="96"/>
      <c r="L172" s="33"/>
      <c r="M172" s="33"/>
      <c r="N172" s="33"/>
      <c r="O172" s="33"/>
      <c r="P172" s="33"/>
      <c r="Q172" s="33"/>
      <c r="R172" s="33"/>
      <c r="S172" s="33"/>
      <c r="T172" s="33"/>
      <c r="U172" s="33"/>
    </row>
    <row r="173" spans="1:21" ht="15" x14ac:dyDescent="0.3">
      <c r="A173" s="33"/>
      <c r="B173" s="33"/>
      <c r="C173" s="33"/>
      <c r="D173" s="33"/>
      <c r="E173" s="33"/>
      <c r="F173" s="33"/>
      <c r="G173" s="33"/>
      <c r="H173" s="33"/>
      <c r="I173" s="33"/>
      <c r="J173" s="33"/>
      <c r="K173" s="96"/>
      <c r="L173" s="33"/>
      <c r="M173" s="33"/>
      <c r="N173" s="33"/>
      <c r="O173" s="33"/>
      <c r="P173" s="33"/>
      <c r="Q173" s="33"/>
      <c r="R173" s="33"/>
      <c r="S173" s="33"/>
      <c r="T173" s="33"/>
      <c r="U173" s="33"/>
    </row>
    <row r="174" spans="1:21" x14ac:dyDescent="0.2">
      <c r="A174" s="81"/>
      <c r="B174" s="81"/>
      <c r="C174" s="81"/>
      <c r="D174" s="81"/>
      <c r="E174" s="81"/>
      <c r="F174" s="81"/>
      <c r="G174" s="81"/>
      <c r="H174" s="81"/>
      <c r="I174" s="91"/>
      <c r="J174" s="81"/>
      <c r="K174" s="94"/>
      <c r="L174" s="81"/>
      <c r="M174" s="91"/>
      <c r="N174" s="81"/>
      <c r="O174" s="81"/>
      <c r="P174" s="81"/>
      <c r="Q174" s="81"/>
      <c r="R174" s="81"/>
      <c r="S174" s="81"/>
      <c r="T174" s="91"/>
    </row>
    <row r="175" spans="1:21" x14ac:dyDescent="0.2">
      <c r="A175" s="81"/>
      <c r="B175" s="81"/>
      <c r="C175" s="81"/>
      <c r="D175" s="81"/>
      <c r="E175" s="81"/>
      <c r="F175" s="81"/>
      <c r="G175" s="81"/>
      <c r="H175" s="81"/>
      <c r="I175" s="81"/>
      <c r="J175" s="81"/>
      <c r="K175" s="94"/>
      <c r="L175" s="81"/>
      <c r="M175" s="81"/>
      <c r="N175" s="81"/>
      <c r="O175" s="81"/>
      <c r="P175" s="81"/>
      <c r="Q175" s="81"/>
      <c r="R175" s="81"/>
      <c r="S175" s="81"/>
      <c r="T175" s="81"/>
    </row>
    <row r="176" spans="1:21" x14ac:dyDescent="0.2">
      <c r="A176" s="81"/>
      <c r="B176" s="81"/>
      <c r="C176" s="81"/>
      <c r="D176" s="81"/>
      <c r="E176" s="81"/>
      <c r="F176" s="81"/>
      <c r="G176" s="81"/>
      <c r="H176" s="81"/>
      <c r="I176" s="81"/>
      <c r="J176" s="81"/>
      <c r="K176" s="94"/>
      <c r="L176" s="81"/>
      <c r="M176" s="81"/>
      <c r="N176" s="81"/>
      <c r="O176" s="81"/>
      <c r="P176" s="81"/>
      <c r="Q176" s="81"/>
      <c r="R176" s="81"/>
      <c r="S176" s="81"/>
      <c r="T176" s="81"/>
    </row>
    <row r="177" spans="1:20" x14ac:dyDescent="0.2">
      <c r="A177" s="81"/>
      <c r="B177" s="81"/>
      <c r="C177" s="81"/>
      <c r="D177" s="81"/>
      <c r="E177" s="81"/>
      <c r="F177" s="81"/>
      <c r="G177" s="81"/>
      <c r="H177" s="81"/>
      <c r="I177" s="81"/>
      <c r="J177" s="81"/>
      <c r="K177" s="94"/>
      <c r="L177" s="81"/>
      <c r="M177" s="81"/>
      <c r="N177" s="81"/>
      <c r="O177" s="81"/>
      <c r="P177" s="81"/>
      <c r="Q177" s="81"/>
      <c r="R177" s="81"/>
      <c r="S177" s="81"/>
      <c r="T177" s="81"/>
    </row>
    <row r="178" spans="1:20" x14ac:dyDescent="0.2">
      <c r="A178" s="81"/>
      <c r="B178" s="81"/>
      <c r="C178" s="81"/>
      <c r="D178" s="81"/>
      <c r="E178" s="81"/>
      <c r="F178" s="81"/>
      <c r="G178" s="81"/>
      <c r="H178" s="81"/>
      <c r="I178" s="81"/>
      <c r="J178" s="81"/>
      <c r="K178" s="94"/>
      <c r="L178" s="81"/>
      <c r="M178" s="81"/>
      <c r="N178" s="81"/>
      <c r="O178" s="81"/>
      <c r="P178" s="81"/>
      <c r="Q178" s="81"/>
      <c r="R178" s="81"/>
      <c r="S178" s="81"/>
      <c r="T178" s="81"/>
    </row>
    <row r="179" spans="1:20" x14ac:dyDescent="0.2">
      <c r="A179" s="81"/>
      <c r="B179" s="81"/>
      <c r="C179" s="81"/>
      <c r="D179" s="81"/>
      <c r="E179" s="81"/>
      <c r="F179" s="81"/>
      <c r="G179" s="81"/>
      <c r="H179" s="81"/>
      <c r="I179" s="81"/>
      <c r="J179" s="81"/>
      <c r="K179" s="94"/>
      <c r="L179" s="81"/>
      <c r="M179" s="81"/>
      <c r="N179" s="81"/>
      <c r="O179" s="81"/>
      <c r="P179" s="81"/>
      <c r="Q179" s="81"/>
      <c r="R179" s="81"/>
      <c r="S179" s="81"/>
      <c r="T179" s="81"/>
    </row>
    <row r="180" spans="1:20" x14ac:dyDescent="0.2">
      <c r="A180" s="81"/>
      <c r="B180" s="81"/>
      <c r="C180" s="81"/>
      <c r="D180" s="81"/>
      <c r="E180" s="81"/>
      <c r="F180" s="81"/>
      <c r="G180" s="81"/>
      <c r="H180" s="81"/>
      <c r="I180" s="81"/>
      <c r="J180" s="81"/>
      <c r="K180" s="94"/>
      <c r="L180" s="81"/>
      <c r="M180" s="81"/>
      <c r="N180" s="81"/>
      <c r="O180" s="81"/>
      <c r="P180" s="81"/>
      <c r="Q180" s="81"/>
      <c r="R180" s="81"/>
      <c r="S180" s="81"/>
      <c r="T180" s="81"/>
    </row>
    <row r="181" spans="1:20" x14ac:dyDescent="0.2">
      <c r="A181" s="81"/>
      <c r="B181" s="81"/>
      <c r="C181" s="81"/>
      <c r="D181" s="81"/>
      <c r="E181" s="81"/>
      <c r="F181" s="81"/>
      <c r="G181" s="81"/>
      <c r="H181" s="81"/>
      <c r="I181" s="81"/>
      <c r="J181" s="81"/>
      <c r="K181" s="94"/>
      <c r="L181" s="81"/>
      <c r="M181" s="81"/>
      <c r="N181" s="81"/>
      <c r="O181" s="81"/>
      <c r="P181" s="81"/>
      <c r="Q181" s="81"/>
      <c r="R181" s="81"/>
      <c r="S181" s="81"/>
      <c r="T181" s="81"/>
    </row>
    <row r="182" spans="1:20" x14ac:dyDescent="0.2">
      <c r="B182" s="81"/>
      <c r="C182" s="81"/>
      <c r="D182" s="81"/>
      <c r="E182" s="81"/>
      <c r="F182" s="81"/>
      <c r="G182" s="81"/>
      <c r="H182" s="81"/>
      <c r="I182" s="81"/>
      <c r="J182" s="81"/>
      <c r="K182" s="94"/>
      <c r="L182" s="81"/>
      <c r="M182" s="81"/>
      <c r="N182" s="81"/>
      <c r="O182" s="81"/>
      <c r="P182" s="81"/>
      <c r="Q182" s="81"/>
      <c r="R182" s="81"/>
      <c r="S182" s="81"/>
      <c r="T182" s="81"/>
    </row>
    <row r="183" spans="1:20" x14ac:dyDescent="0.2">
      <c r="A183" s="81"/>
      <c r="B183" s="81"/>
      <c r="C183" s="81"/>
      <c r="D183" s="81"/>
      <c r="E183" s="81"/>
      <c r="F183" s="81"/>
      <c r="G183" s="81"/>
      <c r="H183" s="81"/>
      <c r="I183" s="81"/>
      <c r="J183" s="81"/>
      <c r="K183" s="94"/>
      <c r="L183" s="81"/>
      <c r="M183" s="81"/>
      <c r="N183" s="81"/>
      <c r="O183" s="81"/>
      <c r="P183" s="81"/>
      <c r="Q183" s="81"/>
      <c r="R183" s="81"/>
      <c r="S183" s="81"/>
      <c r="T183" s="81"/>
    </row>
    <row r="184" spans="1:20" x14ac:dyDescent="0.2">
      <c r="A184" s="81"/>
      <c r="B184" s="81"/>
      <c r="C184" s="81"/>
      <c r="D184" s="81"/>
      <c r="E184" s="81"/>
      <c r="F184" s="81"/>
      <c r="G184" s="81"/>
      <c r="H184" s="81"/>
      <c r="I184" s="81"/>
      <c r="J184" s="81"/>
      <c r="K184" s="94"/>
      <c r="L184" s="81"/>
      <c r="M184" s="81"/>
      <c r="N184" s="81"/>
      <c r="O184" s="81"/>
      <c r="P184" s="81"/>
      <c r="Q184" s="81"/>
      <c r="R184" s="81"/>
      <c r="S184" s="81"/>
      <c r="T184" s="81"/>
    </row>
    <row r="185" spans="1:20" x14ac:dyDescent="0.2">
      <c r="A185" s="81"/>
      <c r="B185" s="81"/>
      <c r="C185" s="81"/>
      <c r="D185" s="81"/>
      <c r="E185" s="81"/>
      <c r="F185" s="81"/>
      <c r="G185" s="81"/>
      <c r="H185" s="81"/>
      <c r="I185" s="81"/>
      <c r="J185" s="81"/>
      <c r="K185" s="94"/>
      <c r="L185" s="81"/>
      <c r="M185" s="81"/>
      <c r="N185" s="81"/>
      <c r="O185" s="81"/>
      <c r="P185" s="81"/>
      <c r="Q185" s="81"/>
      <c r="R185" s="81"/>
      <c r="S185" s="81"/>
      <c r="T185" s="81"/>
    </row>
    <row r="186" spans="1:20" x14ac:dyDescent="0.2">
      <c r="A186" s="81"/>
      <c r="B186" s="81"/>
      <c r="C186" s="81"/>
      <c r="D186" s="81"/>
      <c r="E186" s="81"/>
      <c r="F186" s="81"/>
      <c r="G186" s="81"/>
      <c r="H186" s="81"/>
      <c r="I186" s="81"/>
      <c r="J186" s="81"/>
      <c r="K186" s="94"/>
      <c r="L186" s="81"/>
      <c r="M186" s="81"/>
      <c r="N186" s="81"/>
      <c r="O186" s="81"/>
      <c r="P186" s="81"/>
      <c r="Q186" s="81"/>
      <c r="R186" s="81"/>
      <c r="S186" s="81"/>
      <c r="T186" s="81"/>
    </row>
    <row r="187" spans="1:20" x14ac:dyDescent="0.2">
      <c r="A187" s="81"/>
      <c r="B187" s="81"/>
      <c r="C187" s="81"/>
      <c r="D187" s="81"/>
      <c r="E187" s="81"/>
      <c r="F187" s="81"/>
      <c r="G187" s="81"/>
      <c r="H187" s="81"/>
      <c r="I187" s="81"/>
      <c r="J187" s="81"/>
      <c r="K187" s="94"/>
      <c r="L187" s="81"/>
      <c r="M187" s="81"/>
      <c r="N187" s="81"/>
      <c r="O187" s="81"/>
      <c r="P187" s="81"/>
      <c r="Q187" s="81"/>
      <c r="R187" s="81"/>
      <c r="S187" s="81"/>
      <c r="T187" s="81"/>
    </row>
    <row r="188" spans="1:20" x14ac:dyDescent="0.2">
      <c r="A188" s="81"/>
      <c r="B188" s="81"/>
      <c r="C188" s="81"/>
      <c r="D188" s="81"/>
      <c r="E188" s="81"/>
      <c r="F188" s="81"/>
      <c r="G188" s="81"/>
      <c r="H188" s="81"/>
      <c r="I188" s="81"/>
      <c r="J188" s="81"/>
      <c r="K188" s="94"/>
      <c r="L188" s="81"/>
      <c r="M188" s="81"/>
      <c r="N188" s="81"/>
      <c r="O188" s="81"/>
      <c r="P188" s="81"/>
      <c r="Q188" s="81"/>
      <c r="R188" s="81"/>
      <c r="S188" s="81"/>
      <c r="T188" s="81"/>
    </row>
    <row r="189" spans="1:20" x14ac:dyDescent="0.2">
      <c r="A189" s="81"/>
      <c r="B189" s="81"/>
      <c r="C189" s="81"/>
      <c r="D189" s="81"/>
      <c r="E189" s="81"/>
      <c r="F189" s="81"/>
      <c r="G189" s="81"/>
      <c r="H189" s="81"/>
      <c r="I189" s="81"/>
      <c r="J189" s="81"/>
      <c r="K189" s="94"/>
      <c r="L189" s="81"/>
      <c r="M189" s="81"/>
      <c r="N189" s="81"/>
      <c r="O189" s="81"/>
      <c r="P189" s="81"/>
      <c r="Q189" s="81"/>
      <c r="R189" s="81"/>
      <c r="S189" s="81"/>
      <c r="T189" s="81"/>
    </row>
    <row r="190" spans="1:20" x14ac:dyDescent="0.2">
      <c r="A190" s="81"/>
      <c r="B190" s="81"/>
      <c r="C190" s="81"/>
      <c r="D190" s="81"/>
      <c r="E190" s="81"/>
      <c r="F190" s="81"/>
      <c r="G190" s="81"/>
      <c r="H190" s="81"/>
      <c r="I190" s="81"/>
      <c r="J190" s="81"/>
      <c r="K190" s="94"/>
      <c r="L190" s="81"/>
      <c r="M190" s="81"/>
      <c r="N190" s="81"/>
      <c r="O190" s="81"/>
      <c r="P190" s="81"/>
      <c r="Q190" s="81"/>
      <c r="R190" s="81"/>
      <c r="S190" s="81"/>
      <c r="T190" s="81"/>
    </row>
    <row r="191" spans="1:20" x14ac:dyDescent="0.2">
      <c r="A191" s="81"/>
      <c r="B191" s="81"/>
      <c r="C191" s="81"/>
      <c r="D191" s="81"/>
      <c r="E191" s="81"/>
      <c r="F191" s="81"/>
      <c r="G191" s="81"/>
      <c r="H191" s="81"/>
      <c r="I191" s="81"/>
      <c r="J191" s="81"/>
      <c r="K191" s="94"/>
      <c r="L191" s="81"/>
      <c r="M191" s="81"/>
      <c r="N191" s="81"/>
      <c r="O191" s="81"/>
      <c r="P191" s="81"/>
      <c r="Q191" s="81"/>
      <c r="R191" s="81"/>
      <c r="S191" s="81"/>
      <c r="T191" s="81"/>
    </row>
    <row r="192" spans="1:20" x14ac:dyDescent="0.2">
      <c r="A192" s="81"/>
      <c r="B192" s="81"/>
      <c r="C192" s="81"/>
      <c r="D192" s="81"/>
      <c r="E192" s="81"/>
      <c r="F192" s="81"/>
      <c r="G192" s="81"/>
      <c r="H192" s="81"/>
      <c r="I192" s="81"/>
      <c r="J192" s="81"/>
      <c r="K192" s="94"/>
      <c r="L192" s="81"/>
      <c r="M192" s="81"/>
      <c r="N192" s="81"/>
      <c r="O192" s="81"/>
      <c r="P192" s="81"/>
      <c r="Q192" s="81"/>
      <c r="R192" s="81"/>
      <c r="S192" s="81"/>
      <c r="T192" s="81"/>
    </row>
    <row r="193" spans="1:20" x14ac:dyDescent="0.2">
      <c r="A193" s="81"/>
      <c r="B193" s="81"/>
      <c r="C193" s="81"/>
      <c r="D193" s="81"/>
      <c r="E193" s="81"/>
      <c r="F193" s="81"/>
      <c r="G193" s="81"/>
      <c r="H193" s="81"/>
      <c r="I193" s="81"/>
      <c r="J193" s="81"/>
      <c r="K193" s="94"/>
      <c r="L193" s="81"/>
      <c r="M193" s="81"/>
      <c r="N193" s="81"/>
      <c r="O193" s="81"/>
      <c r="P193" s="81"/>
      <c r="Q193" s="81"/>
      <c r="R193" s="81"/>
      <c r="S193" s="81"/>
      <c r="T193" s="81"/>
    </row>
    <row r="194" spans="1:20" x14ac:dyDescent="0.2">
      <c r="A194" s="81"/>
      <c r="B194" s="81"/>
      <c r="C194" s="81"/>
      <c r="D194" s="81"/>
      <c r="E194" s="81"/>
      <c r="F194" s="81"/>
      <c r="G194" s="81"/>
      <c r="H194" s="81"/>
      <c r="I194" s="81"/>
      <c r="J194" s="81"/>
      <c r="K194" s="94"/>
      <c r="L194" s="81"/>
      <c r="M194" s="81"/>
      <c r="N194" s="81"/>
      <c r="O194" s="81"/>
      <c r="P194" s="81"/>
      <c r="Q194" s="81"/>
      <c r="R194" s="81"/>
      <c r="S194" s="81"/>
      <c r="T194" s="81"/>
    </row>
    <row r="195" spans="1:20" x14ac:dyDescent="0.2">
      <c r="A195" s="81"/>
      <c r="B195" s="81"/>
      <c r="C195" s="81"/>
      <c r="D195" s="81"/>
      <c r="E195" s="81"/>
      <c r="F195" s="81"/>
      <c r="G195" s="81"/>
      <c r="H195" s="81"/>
      <c r="I195" s="81"/>
      <c r="J195" s="81"/>
      <c r="K195" s="94"/>
      <c r="L195" s="81"/>
      <c r="M195" s="81"/>
      <c r="N195" s="81"/>
      <c r="O195" s="81"/>
      <c r="P195" s="81"/>
      <c r="Q195" s="81"/>
      <c r="R195" s="81"/>
      <c r="S195" s="81"/>
      <c r="T195" s="81"/>
    </row>
    <row r="196" spans="1:20" x14ac:dyDescent="0.2">
      <c r="A196" s="81"/>
      <c r="B196" s="81"/>
      <c r="C196" s="81"/>
      <c r="D196" s="81"/>
      <c r="E196" s="81"/>
      <c r="F196" s="81"/>
      <c r="G196" s="81"/>
      <c r="H196" s="81"/>
      <c r="I196" s="81"/>
      <c r="J196" s="81"/>
      <c r="K196" s="94"/>
      <c r="L196" s="81"/>
      <c r="M196" s="81"/>
      <c r="N196" s="81"/>
      <c r="O196" s="81"/>
      <c r="P196" s="81"/>
      <c r="Q196" s="81"/>
      <c r="R196" s="81"/>
      <c r="S196" s="81"/>
      <c r="T196" s="81"/>
    </row>
    <row r="197" spans="1:20" x14ac:dyDescent="0.2">
      <c r="A197" s="81"/>
      <c r="B197" s="81"/>
      <c r="C197" s="81"/>
      <c r="D197" s="81"/>
      <c r="E197" s="81"/>
      <c r="F197" s="81"/>
      <c r="G197" s="81"/>
      <c r="H197" s="81"/>
      <c r="I197" s="81"/>
      <c r="J197" s="81"/>
      <c r="K197" s="94"/>
      <c r="L197" s="81"/>
      <c r="M197" s="81"/>
      <c r="N197" s="81"/>
      <c r="O197" s="81"/>
      <c r="P197" s="81"/>
      <c r="Q197" s="81"/>
      <c r="R197" s="81"/>
      <c r="S197" s="81"/>
      <c r="T197" s="81"/>
    </row>
    <row r="198" spans="1:20" x14ac:dyDescent="0.2">
      <c r="A198" s="81"/>
      <c r="B198" s="81"/>
      <c r="C198" s="81"/>
      <c r="D198" s="81"/>
      <c r="E198" s="81"/>
      <c r="F198" s="81"/>
      <c r="G198" s="81"/>
      <c r="H198" s="81"/>
      <c r="I198" s="81"/>
      <c r="J198" s="81"/>
      <c r="K198" s="94"/>
      <c r="L198" s="81"/>
      <c r="M198" s="81"/>
      <c r="N198" s="81"/>
      <c r="O198" s="81"/>
      <c r="P198" s="81"/>
      <c r="Q198" s="81"/>
      <c r="R198" s="81"/>
      <c r="S198" s="81"/>
      <c r="T198" s="81"/>
    </row>
    <row r="199" spans="1:20" x14ac:dyDescent="0.2">
      <c r="A199" s="81"/>
      <c r="B199" s="81"/>
      <c r="C199" s="81"/>
      <c r="D199" s="81"/>
      <c r="E199" s="81"/>
      <c r="F199" s="81"/>
      <c r="G199" s="81"/>
      <c r="H199" s="81"/>
      <c r="I199" s="81"/>
      <c r="J199" s="81"/>
      <c r="K199" s="94"/>
      <c r="L199" s="81"/>
      <c r="M199" s="81"/>
      <c r="N199" s="81"/>
      <c r="O199" s="81"/>
      <c r="P199" s="81"/>
      <c r="Q199" s="81"/>
      <c r="R199" s="81"/>
      <c r="S199" s="81"/>
      <c r="T199" s="81"/>
    </row>
    <row r="200" spans="1:20" x14ac:dyDescent="0.2">
      <c r="A200" s="81"/>
      <c r="B200" s="81"/>
      <c r="C200" s="81"/>
      <c r="D200" s="81"/>
      <c r="E200" s="81"/>
      <c r="F200" s="81"/>
      <c r="G200" s="81"/>
      <c r="H200" s="81"/>
      <c r="I200" s="81"/>
      <c r="J200" s="81"/>
      <c r="K200" s="94"/>
      <c r="L200" s="81"/>
      <c r="M200" s="81"/>
      <c r="N200" s="81"/>
      <c r="O200" s="81"/>
      <c r="P200" s="81"/>
      <c r="Q200" s="81"/>
      <c r="R200" s="81"/>
      <c r="S200" s="81"/>
      <c r="T200" s="81"/>
    </row>
    <row r="201" spans="1:20" x14ac:dyDescent="0.2">
      <c r="A201" s="81"/>
      <c r="B201" s="81"/>
      <c r="C201" s="81"/>
      <c r="D201" s="81"/>
      <c r="E201" s="81"/>
      <c r="F201" s="81"/>
      <c r="G201" s="81"/>
      <c r="H201" s="81"/>
      <c r="I201" s="81"/>
      <c r="J201" s="81"/>
      <c r="K201" s="94"/>
      <c r="L201" s="81"/>
      <c r="M201" s="81"/>
      <c r="N201" s="81"/>
      <c r="O201" s="81"/>
      <c r="P201" s="81"/>
      <c r="Q201" s="81"/>
      <c r="R201" s="81"/>
      <c r="S201" s="81"/>
      <c r="T201" s="81"/>
    </row>
    <row r="202" spans="1:20" x14ac:dyDescent="0.2">
      <c r="A202" s="81"/>
      <c r="B202" s="81"/>
      <c r="C202" s="81"/>
      <c r="D202" s="81"/>
      <c r="E202" s="81"/>
      <c r="F202" s="81"/>
      <c r="G202" s="81"/>
      <c r="H202" s="81"/>
      <c r="I202" s="81"/>
      <c r="J202" s="81"/>
      <c r="K202" s="94"/>
      <c r="L202" s="81"/>
      <c r="M202" s="81"/>
      <c r="N202" s="81"/>
      <c r="O202" s="81"/>
      <c r="P202" s="81"/>
      <c r="Q202" s="81"/>
      <c r="R202" s="81"/>
      <c r="S202" s="81"/>
      <c r="T202" s="81"/>
    </row>
    <row r="203" spans="1:20" x14ac:dyDescent="0.2">
      <c r="A203" s="81"/>
      <c r="B203" s="81"/>
      <c r="C203" s="81"/>
      <c r="D203" s="81"/>
      <c r="E203" s="81"/>
      <c r="F203" s="81"/>
      <c r="G203" s="81"/>
      <c r="H203" s="81"/>
      <c r="I203" s="81"/>
      <c r="J203" s="81"/>
      <c r="K203" s="94"/>
      <c r="L203" s="81"/>
      <c r="M203" s="81"/>
      <c r="N203" s="81"/>
      <c r="O203" s="81"/>
      <c r="P203" s="81"/>
      <c r="Q203" s="81"/>
      <c r="R203" s="81"/>
      <c r="S203" s="81"/>
      <c r="T203" s="81"/>
    </row>
    <row r="204" spans="1:20" x14ac:dyDescent="0.2">
      <c r="A204" s="81"/>
      <c r="B204" s="81"/>
      <c r="C204" s="81"/>
      <c r="D204" s="81"/>
      <c r="E204" s="81"/>
      <c r="F204" s="81"/>
      <c r="G204" s="81"/>
      <c r="H204" s="81"/>
      <c r="I204" s="81"/>
      <c r="J204" s="81"/>
      <c r="K204" s="94"/>
      <c r="L204" s="81"/>
      <c r="M204" s="81"/>
      <c r="N204" s="81"/>
      <c r="O204" s="81"/>
      <c r="P204" s="81"/>
      <c r="Q204" s="81"/>
      <c r="R204" s="81"/>
      <c r="S204" s="81"/>
      <c r="T204" s="81"/>
    </row>
    <row r="205" spans="1:20" x14ac:dyDescent="0.2">
      <c r="A205" s="81"/>
      <c r="B205" s="81"/>
      <c r="C205" s="81"/>
      <c r="D205" s="81"/>
      <c r="E205" s="81"/>
      <c r="F205" s="81"/>
      <c r="G205" s="81"/>
      <c r="H205" s="81"/>
      <c r="I205" s="81"/>
      <c r="J205" s="81"/>
      <c r="K205" s="94"/>
      <c r="L205" s="81"/>
      <c r="M205" s="81"/>
      <c r="N205" s="81"/>
      <c r="O205" s="81"/>
      <c r="P205" s="81"/>
      <c r="Q205" s="81"/>
      <c r="R205" s="81"/>
      <c r="S205" s="81"/>
      <c r="T205" s="81"/>
    </row>
    <row r="206" spans="1:20" x14ac:dyDescent="0.2">
      <c r="A206" s="81"/>
      <c r="B206" s="81"/>
      <c r="C206" s="81"/>
      <c r="D206" s="81"/>
      <c r="E206" s="81"/>
      <c r="F206" s="81"/>
      <c r="G206" s="81"/>
      <c r="H206" s="81"/>
      <c r="I206" s="81"/>
      <c r="J206" s="81"/>
      <c r="K206" s="94"/>
      <c r="L206" s="81"/>
      <c r="M206" s="81"/>
      <c r="N206" s="81"/>
      <c r="O206" s="81"/>
      <c r="P206" s="81"/>
      <c r="Q206" s="81"/>
      <c r="R206" s="81"/>
      <c r="S206" s="81"/>
      <c r="T206" s="81"/>
    </row>
    <row r="207" spans="1:20" x14ac:dyDescent="0.2">
      <c r="A207" s="81"/>
      <c r="B207" s="81"/>
      <c r="C207" s="81"/>
      <c r="D207" s="81"/>
      <c r="E207" s="81"/>
      <c r="F207" s="81"/>
      <c r="G207" s="81"/>
      <c r="H207" s="81"/>
      <c r="I207" s="81"/>
      <c r="J207" s="81"/>
      <c r="K207" s="94"/>
      <c r="L207" s="81"/>
      <c r="M207" s="81"/>
      <c r="N207" s="81"/>
      <c r="O207" s="81"/>
      <c r="P207" s="81"/>
      <c r="Q207" s="81"/>
      <c r="R207" s="81"/>
      <c r="S207" s="81"/>
      <c r="T207" s="81"/>
    </row>
    <row r="208" spans="1:20" x14ac:dyDescent="0.2">
      <c r="A208" s="81"/>
      <c r="B208" s="81"/>
      <c r="C208" s="81"/>
      <c r="D208" s="81"/>
      <c r="E208" s="81"/>
      <c r="F208" s="81"/>
      <c r="G208" s="81"/>
      <c r="H208" s="81"/>
      <c r="I208" s="81"/>
      <c r="J208" s="81"/>
      <c r="K208" s="94"/>
      <c r="L208" s="81"/>
      <c r="M208" s="81"/>
      <c r="N208" s="81"/>
      <c r="O208" s="81"/>
      <c r="P208" s="81"/>
      <c r="Q208" s="81"/>
      <c r="R208" s="81"/>
      <c r="S208" s="81"/>
      <c r="T208" s="81"/>
    </row>
    <row r="209" spans="1:21" x14ac:dyDescent="0.2">
      <c r="A209" s="81"/>
      <c r="B209" s="81"/>
      <c r="C209" s="81"/>
      <c r="D209" s="81"/>
      <c r="E209" s="81"/>
      <c r="F209" s="81"/>
      <c r="G209" s="81"/>
      <c r="H209" s="81"/>
      <c r="I209" s="81"/>
      <c r="J209" s="81"/>
      <c r="K209" s="94"/>
      <c r="L209" s="81"/>
      <c r="M209" s="81"/>
      <c r="N209" s="81"/>
      <c r="O209" s="81"/>
      <c r="P209" s="81"/>
      <c r="Q209" s="81"/>
      <c r="R209" s="81"/>
      <c r="S209" s="81"/>
      <c r="T209" s="81"/>
    </row>
    <row r="210" spans="1:21" x14ac:dyDescent="0.2">
      <c r="A210" s="81"/>
      <c r="B210" s="81"/>
      <c r="C210" s="81"/>
      <c r="D210" s="81"/>
      <c r="E210" s="81"/>
      <c r="F210" s="81"/>
      <c r="G210" s="81"/>
      <c r="H210" s="81"/>
      <c r="I210" s="81"/>
      <c r="J210" s="81"/>
      <c r="K210" s="94"/>
      <c r="L210" s="81"/>
      <c r="M210" s="81"/>
      <c r="N210" s="81"/>
      <c r="O210" s="81"/>
      <c r="P210" s="81"/>
      <c r="Q210" s="81"/>
      <c r="R210" s="81"/>
      <c r="S210" s="81"/>
      <c r="T210" s="81"/>
    </row>
    <row r="211" spans="1:21" x14ac:dyDescent="0.2">
      <c r="A211" s="81"/>
      <c r="B211" s="81"/>
      <c r="C211" s="81"/>
      <c r="D211" s="81"/>
      <c r="E211" s="81"/>
      <c r="F211" s="81"/>
      <c r="G211" s="81"/>
      <c r="H211" s="81"/>
      <c r="I211" s="81"/>
      <c r="J211" s="81"/>
      <c r="K211" s="94"/>
      <c r="L211" s="81"/>
      <c r="M211" s="81"/>
      <c r="N211" s="81"/>
      <c r="O211" s="81"/>
      <c r="P211" s="81"/>
      <c r="Q211" s="81"/>
      <c r="R211" s="81"/>
      <c r="S211" s="81"/>
      <c r="T211" s="81"/>
    </row>
    <row r="212" spans="1:21" x14ac:dyDescent="0.2">
      <c r="A212" s="81"/>
      <c r="B212" s="81"/>
      <c r="C212" s="81"/>
      <c r="D212" s="81"/>
      <c r="E212" s="81"/>
      <c r="F212" s="81"/>
      <c r="G212" s="81"/>
      <c r="H212" s="81"/>
      <c r="I212" s="81"/>
      <c r="J212" s="81"/>
      <c r="K212" s="94"/>
      <c r="L212" s="81"/>
      <c r="M212" s="81"/>
      <c r="N212" s="81"/>
      <c r="O212" s="81"/>
      <c r="P212" s="81"/>
      <c r="Q212" s="81"/>
      <c r="R212" s="81"/>
      <c r="S212" s="81"/>
      <c r="T212" s="81"/>
    </row>
    <row r="213" spans="1:21" x14ac:dyDescent="0.2">
      <c r="A213" s="90"/>
      <c r="B213" s="90"/>
      <c r="C213" s="90"/>
      <c r="D213" s="90"/>
      <c r="E213" s="90"/>
      <c r="F213" s="90"/>
      <c r="G213" s="90"/>
      <c r="H213" s="90"/>
      <c r="I213" s="90"/>
      <c r="J213" s="90"/>
      <c r="K213" s="90"/>
      <c r="L213" s="90"/>
      <c r="M213" s="90"/>
      <c r="N213" s="90"/>
      <c r="O213" s="90"/>
      <c r="P213" s="90"/>
      <c r="Q213" s="90"/>
      <c r="R213" s="90"/>
      <c r="S213" s="90"/>
      <c r="T213" s="90"/>
      <c r="U213" s="90"/>
    </row>
    <row r="214" spans="1:21" hidden="1" x14ac:dyDescent="0.2">
      <c r="A214" s="90"/>
      <c r="B214" s="90"/>
      <c r="C214" s="90"/>
      <c r="D214" s="90"/>
      <c r="E214" s="90"/>
      <c r="F214" s="90"/>
      <c r="G214" s="90"/>
      <c r="H214" s="90"/>
      <c r="I214" s="90"/>
      <c r="J214" s="90"/>
      <c r="K214" s="90"/>
      <c r="L214" s="90"/>
      <c r="M214" s="90"/>
      <c r="N214" s="90"/>
      <c r="O214" s="90"/>
      <c r="P214" s="90"/>
      <c r="Q214" s="90"/>
      <c r="R214" s="90"/>
      <c r="S214" s="90"/>
      <c r="T214" s="90"/>
      <c r="U214" s="90"/>
    </row>
    <row r="215" spans="1:21" ht="15" hidden="1" x14ac:dyDescent="0.3">
      <c r="A215" s="85"/>
      <c r="B215" s="85"/>
      <c r="C215" s="85"/>
      <c r="D215" s="85"/>
      <c r="E215" s="85"/>
      <c r="F215" s="85"/>
      <c r="G215" s="85"/>
      <c r="H215" s="85"/>
      <c r="I215" s="85"/>
      <c r="J215" s="85"/>
      <c r="K215" s="85"/>
      <c r="L215" s="85"/>
      <c r="M215" s="85"/>
      <c r="N215" s="85"/>
      <c r="O215" s="85"/>
      <c r="P215" s="85"/>
      <c r="Q215" s="85"/>
      <c r="R215" s="85"/>
      <c r="S215" s="85"/>
      <c r="T215" s="85"/>
      <c r="U215" s="85"/>
    </row>
    <row r="216" spans="1:21" ht="15" x14ac:dyDescent="0.3">
      <c r="A216" s="85"/>
      <c r="B216" s="85"/>
      <c r="C216" s="85"/>
      <c r="D216" s="85"/>
      <c r="E216" s="85"/>
      <c r="F216" s="85"/>
      <c r="G216" s="85"/>
      <c r="H216" s="85"/>
      <c r="I216" s="85"/>
      <c r="J216" s="85"/>
      <c r="K216" s="85"/>
      <c r="L216" s="85"/>
      <c r="M216" s="85"/>
      <c r="N216" s="85"/>
      <c r="O216" s="85"/>
      <c r="P216" s="85"/>
      <c r="Q216" s="85"/>
      <c r="R216" s="85"/>
      <c r="S216" s="85"/>
      <c r="T216" s="85"/>
      <c r="U216" s="85"/>
    </row>
    <row r="217" spans="1:21" ht="15" x14ac:dyDescent="0.3">
      <c r="A217" s="85"/>
      <c r="B217" s="85"/>
      <c r="C217" s="85"/>
      <c r="D217" s="85"/>
      <c r="E217" s="85"/>
      <c r="F217" s="85"/>
      <c r="G217" s="85"/>
      <c r="H217" s="85"/>
      <c r="I217" s="85"/>
      <c r="J217" s="85"/>
      <c r="K217" s="85"/>
      <c r="L217" s="85"/>
      <c r="M217" s="85"/>
      <c r="N217" s="85"/>
      <c r="O217" s="85"/>
      <c r="P217" s="85"/>
      <c r="Q217" s="85"/>
      <c r="R217" s="85"/>
      <c r="S217" s="85"/>
      <c r="T217" s="85"/>
      <c r="U217" s="85"/>
    </row>
    <row r="218" spans="1:21" ht="15" x14ac:dyDescent="0.3">
      <c r="A218" s="85"/>
      <c r="B218" s="85"/>
      <c r="C218" s="85"/>
      <c r="D218" s="85"/>
      <c r="E218" s="85"/>
      <c r="F218" s="85"/>
      <c r="G218" s="85"/>
      <c r="H218" s="85"/>
      <c r="I218" s="85"/>
      <c r="J218" s="85"/>
      <c r="K218" s="85"/>
      <c r="L218" s="85"/>
      <c r="M218" s="85"/>
      <c r="N218" s="85"/>
      <c r="O218" s="85"/>
      <c r="P218" s="85"/>
      <c r="Q218" s="85"/>
      <c r="R218" s="85"/>
      <c r="S218" s="85"/>
      <c r="T218" s="85"/>
      <c r="U218" s="85"/>
    </row>
    <row r="219" spans="1:21" ht="15" x14ac:dyDescent="0.3">
      <c r="A219" s="85"/>
      <c r="B219" s="85"/>
      <c r="C219" s="85"/>
      <c r="D219" s="85"/>
      <c r="E219" s="85"/>
      <c r="F219" s="85"/>
      <c r="G219" s="85"/>
      <c r="H219" s="85"/>
      <c r="I219" s="85"/>
      <c r="J219" s="85"/>
      <c r="K219" s="85"/>
      <c r="L219" s="85"/>
      <c r="M219" s="85"/>
      <c r="N219" s="85"/>
      <c r="O219" s="85"/>
      <c r="P219" s="85"/>
      <c r="Q219" s="85"/>
      <c r="R219" s="85"/>
      <c r="S219" s="85"/>
      <c r="T219" s="85"/>
      <c r="U219" s="85"/>
    </row>
    <row r="220" spans="1:21" ht="15" hidden="1" x14ac:dyDescent="0.3">
      <c r="A220" s="72"/>
      <c r="B220" s="72"/>
      <c r="C220" s="72"/>
      <c r="D220" s="72"/>
      <c r="E220" s="72"/>
      <c r="F220" s="72"/>
      <c r="G220" s="72"/>
      <c r="H220" s="72"/>
      <c r="I220" s="72"/>
      <c r="J220" s="72"/>
      <c r="K220" s="72"/>
      <c r="L220" s="72"/>
      <c r="M220" s="72"/>
      <c r="N220" s="72"/>
      <c r="O220" s="72"/>
      <c r="P220" s="72"/>
      <c r="Q220" s="72"/>
      <c r="R220" s="72"/>
      <c r="S220" s="72"/>
      <c r="T220" s="72"/>
    </row>
    <row r="221" spans="1:21" ht="15" hidden="1" x14ac:dyDescent="0.3">
      <c r="A221" s="72"/>
      <c r="B221" s="72"/>
      <c r="C221" s="72"/>
      <c r="D221" s="72"/>
      <c r="E221" s="72"/>
      <c r="F221" s="72"/>
      <c r="G221" s="72"/>
      <c r="H221" s="72"/>
      <c r="I221" s="72"/>
      <c r="J221" s="72"/>
      <c r="K221" s="72"/>
      <c r="L221" s="72"/>
      <c r="M221" s="72"/>
      <c r="N221" s="72"/>
      <c r="O221" s="72"/>
      <c r="P221" s="72"/>
      <c r="Q221" s="72"/>
      <c r="R221" s="72"/>
      <c r="S221" s="72"/>
      <c r="T221" s="72"/>
    </row>
    <row r="222" spans="1:21" x14ac:dyDescent="0.2">
      <c r="A222" s="84"/>
      <c r="B222" s="84"/>
      <c r="C222" s="84"/>
      <c r="D222" s="84"/>
      <c r="E222" s="84"/>
      <c r="F222" s="84"/>
      <c r="G222" s="84"/>
      <c r="H222" s="84"/>
      <c r="I222" s="84"/>
      <c r="J222" s="84"/>
      <c r="K222" s="84"/>
      <c r="L222" s="84"/>
      <c r="M222" s="84"/>
      <c r="N222" s="84"/>
      <c r="O222" s="84"/>
      <c r="P222" s="84"/>
      <c r="Q222" s="84"/>
      <c r="R222" s="84"/>
      <c r="S222" s="84"/>
      <c r="T222" s="84"/>
      <c r="U222" s="84"/>
    </row>
    <row r="223" spans="1:21" x14ac:dyDescent="0.2">
      <c r="A223" s="84"/>
      <c r="B223" s="84"/>
      <c r="C223" s="84"/>
      <c r="D223" s="84"/>
      <c r="E223" s="84"/>
      <c r="F223" s="84"/>
      <c r="G223" s="84"/>
      <c r="H223" s="84"/>
      <c r="I223" s="84"/>
      <c r="J223" s="84"/>
      <c r="K223" s="84"/>
      <c r="L223" s="84"/>
      <c r="M223" s="84"/>
      <c r="N223" s="84"/>
      <c r="O223" s="84"/>
      <c r="P223" s="84"/>
      <c r="Q223" s="84"/>
      <c r="R223" s="84"/>
      <c r="S223" s="84"/>
      <c r="T223" s="84"/>
      <c r="U223" s="84"/>
    </row>
    <row r="224" spans="1:21" x14ac:dyDescent="0.2">
      <c r="A224" s="84"/>
      <c r="B224" s="84"/>
      <c r="C224" s="84"/>
      <c r="D224" s="84"/>
      <c r="E224" s="84"/>
      <c r="F224" s="84"/>
      <c r="G224" s="84"/>
      <c r="H224" s="84"/>
      <c r="I224" s="84"/>
      <c r="J224" s="84"/>
      <c r="K224" s="84"/>
      <c r="L224" s="84"/>
      <c r="M224" s="84"/>
      <c r="N224" s="84"/>
      <c r="O224" s="84"/>
      <c r="P224" s="84"/>
      <c r="Q224" s="84"/>
      <c r="R224" s="84"/>
      <c r="S224" s="84"/>
      <c r="T224" s="84"/>
      <c r="U224" s="84"/>
    </row>
    <row r="225" spans="1:21" x14ac:dyDescent="0.2">
      <c r="A225" s="84"/>
      <c r="B225" s="84"/>
      <c r="C225" s="84"/>
      <c r="D225" s="84"/>
      <c r="E225" s="84"/>
      <c r="F225" s="84"/>
      <c r="G225" s="84"/>
      <c r="H225" s="84"/>
      <c r="I225" s="92"/>
      <c r="J225" s="84"/>
      <c r="K225" s="84"/>
      <c r="L225" s="84"/>
      <c r="M225" s="84"/>
      <c r="N225" s="84"/>
      <c r="O225" s="84"/>
      <c r="P225" s="84"/>
      <c r="Q225" s="84"/>
      <c r="R225" s="84"/>
      <c r="S225" s="84"/>
      <c r="T225" s="84"/>
      <c r="U225" s="84"/>
    </row>
    <row r="226" spans="1:21" x14ac:dyDescent="0.2">
      <c r="A226" s="84"/>
      <c r="B226" s="84"/>
      <c r="C226" s="84"/>
      <c r="D226" s="84"/>
      <c r="E226" s="84"/>
      <c r="F226" s="84"/>
      <c r="G226" s="84"/>
      <c r="H226" s="84"/>
      <c r="I226" s="84"/>
      <c r="J226" s="84"/>
      <c r="K226" s="84"/>
      <c r="L226" s="84"/>
      <c r="M226" s="84"/>
      <c r="N226" s="84"/>
      <c r="O226" s="84"/>
      <c r="P226" s="84"/>
      <c r="Q226" s="84"/>
      <c r="R226" s="84"/>
      <c r="S226" s="84"/>
      <c r="T226" s="84"/>
      <c r="U226" s="84"/>
    </row>
    <row r="227" spans="1:21" ht="13.5" thickBot="1" x14ac:dyDescent="0.25">
      <c r="A227" s="93"/>
      <c r="B227" s="93"/>
      <c r="C227" s="93"/>
      <c r="D227" s="93"/>
      <c r="E227" s="93"/>
      <c r="F227" s="93"/>
      <c r="G227" s="93"/>
      <c r="H227" s="93"/>
      <c r="I227" s="93"/>
      <c r="J227" s="93"/>
      <c r="K227" s="93"/>
      <c r="L227" s="93"/>
      <c r="M227" s="93"/>
      <c r="N227" s="93"/>
      <c r="O227" s="93"/>
      <c r="P227" s="93"/>
      <c r="Q227" s="93"/>
      <c r="R227" s="93"/>
      <c r="S227" s="93"/>
      <c r="T227" s="93"/>
      <c r="U227" s="93"/>
    </row>
    <row r="228" spans="1:21" ht="15" x14ac:dyDescent="0.3">
      <c r="A228" s="33"/>
      <c r="B228" s="33"/>
      <c r="C228" s="33"/>
      <c r="D228" s="33"/>
      <c r="E228" s="33"/>
      <c r="F228" s="33"/>
      <c r="G228" s="33"/>
      <c r="H228" s="33"/>
      <c r="I228" s="33"/>
      <c r="J228" s="33"/>
      <c r="K228" s="95"/>
      <c r="L228" s="33"/>
      <c r="M228" s="33"/>
      <c r="N228" s="33"/>
      <c r="O228" s="33"/>
      <c r="P228" s="33"/>
      <c r="Q228" s="33"/>
      <c r="R228" s="33"/>
      <c r="S228" s="33"/>
      <c r="T228" s="33"/>
      <c r="U228" s="33"/>
    </row>
    <row r="229" spans="1:21" ht="15" x14ac:dyDescent="0.3">
      <c r="A229" s="33"/>
      <c r="B229" s="33"/>
      <c r="C229" s="33"/>
      <c r="D229" s="33"/>
      <c r="E229" s="33"/>
      <c r="F229" s="33"/>
      <c r="G229" s="33"/>
      <c r="H229" s="33"/>
      <c r="I229" s="33"/>
      <c r="J229" s="33"/>
      <c r="K229" s="96"/>
      <c r="L229" s="33"/>
      <c r="M229" s="33"/>
      <c r="N229" s="33"/>
      <c r="O229" s="33"/>
      <c r="P229" s="33"/>
      <c r="Q229" s="33"/>
      <c r="R229" s="33"/>
      <c r="S229" s="33"/>
      <c r="T229" s="33"/>
      <c r="U229" s="33"/>
    </row>
    <row r="230" spans="1:21" ht="15" x14ac:dyDescent="0.3">
      <c r="A230" s="33"/>
      <c r="B230" s="33"/>
      <c r="C230" s="33"/>
      <c r="D230" s="33"/>
      <c r="E230" s="33"/>
      <c r="F230" s="33"/>
      <c r="G230" s="33"/>
      <c r="H230" s="33"/>
      <c r="I230" s="33"/>
      <c r="J230" s="33"/>
      <c r="K230" s="96"/>
      <c r="L230" s="33"/>
      <c r="M230" s="33"/>
      <c r="N230" s="33"/>
      <c r="O230" s="33"/>
      <c r="P230" s="33"/>
      <c r="Q230" s="33"/>
      <c r="R230" s="33"/>
      <c r="S230" s="33"/>
      <c r="T230" s="33"/>
      <c r="U230" s="33"/>
    </row>
    <row r="231" spans="1:21" ht="15" x14ac:dyDescent="0.3">
      <c r="A231" s="33"/>
      <c r="B231" s="33"/>
      <c r="C231" s="33"/>
      <c r="D231" s="33"/>
      <c r="E231" s="33"/>
      <c r="F231" s="33"/>
      <c r="G231" s="33"/>
      <c r="H231" s="33"/>
      <c r="I231" s="33"/>
      <c r="J231" s="33"/>
      <c r="K231" s="96"/>
      <c r="L231" s="33"/>
      <c r="M231" s="33"/>
      <c r="N231" s="33"/>
      <c r="O231" s="33"/>
      <c r="P231" s="33"/>
      <c r="Q231" s="33"/>
      <c r="R231" s="33"/>
      <c r="S231" s="33"/>
      <c r="T231" s="33"/>
      <c r="U231" s="33"/>
    </row>
    <row r="232" spans="1:21" ht="15" x14ac:dyDescent="0.3">
      <c r="A232" s="33"/>
      <c r="B232" s="33"/>
      <c r="C232" s="33"/>
      <c r="D232" s="33"/>
      <c r="E232" s="33"/>
      <c r="F232" s="33"/>
      <c r="G232" s="33"/>
      <c r="H232" s="33"/>
      <c r="I232" s="33"/>
      <c r="J232" s="33"/>
      <c r="K232" s="96"/>
      <c r="L232" s="33"/>
      <c r="M232" s="33"/>
      <c r="N232" s="33"/>
      <c r="O232" s="33"/>
      <c r="P232" s="33"/>
      <c r="Q232" s="33"/>
      <c r="R232" s="33"/>
      <c r="S232" s="33"/>
      <c r="T232" s="33"/>
      <c r="U232" s="33"/>
    </row>
    <row r="233" spans="1:21" x14ac:dyDescent="0.2">
      <c r="A233" s="81"/>
      <c r="B233" s="81"/>
      <c r="C233" s="81"/>
      <c r="D233" s="81"/>
      <c r="E233" s="81"/>
      <c r="F233" s="81"/>
      <c r="G233" s="81"/>
      <c r="H233" s="81"/>
      <c r="I233" s="91"/>
      <c r="J233" s="81"/>
      <c r="K233" s="94"/>
      <c r="L233" s="81"/>
      <c r="M233" s="91"/>
      <c r="N233" s="81"/>
      <c r="O233" s="81"/>
      <c r="P233" s="81"/>
      <c r="Q233" s="81"/>
      <c r="R233" s="81"/>
      <c r="S233" s="81"/>
      <c r="T233" s="91"/>
    </row>
    <row r="234" spans="1:21" x14ac:dyDescent="0.2">
      <c r="A234" s="81"/>
      <c r="B234" s="81"/>
      <c r="C234" s="81"/>
      <c r="D234" s="81"/>
      <c r="E234" s="81"/>
      <c r="F234" s="81"/>
      <c r="G234" s="81"/>
      <c r="H234" s="81"/>
      <c r="I234" s="81"/>
      <c r="J234" s="81"/>
      <c r="K234" s="94"/>
      <c r="L234" s="81"/>
      <c r="M234" s="81"/>
      <c r="N234" s="81"/>
      <c r="O234" s="81"/>
      <c r="P234" s="81"/>
      <c r="Q234" s="81"/>
      <c r="R234" s="81"/>
      <c r="S234" s="81"/>
      <c r="T234" s="81"/>
    </row>
    <row r="235" spans="1:21" x14ac:dyDescent="0.2">
      <c r="A235" s="81"/>
      <c r="B235" s="81"/>
      <c r="C235" s="81"/>
      <c r="D235" s="81"/>
      <c r="E235" s="81"/>
      <c r="F235" s="81"/>
      <c r="G235" s="81"/>
      <c r="H235" s="81"/>
      <c r="I235" s="81"/>
      <c r="J235" s="81"/>
      <c r="K235" s="94"/>
      <c r="L235" s="81"/>
      <c r="M235" s="81"/>
      <c r="N235" s="81"/>
      <c r="O235" s="81"/>
      <c r="P235" s="81"/>
      <c r="Q235" s="81"/>
      <c r="R235" s="81"/>
      <c r="S235" s="81"/>
      <c r="T235" s="81"/>
    </row>
    <row r="236" spans="1:21" x14ac:dyDescent="0.2">
      <c r="A236" s="81"/>
      <c r="B236" s="81"/>
      <c r="C236" s="81"/>
      <c r="D236" s="81"/>
      <c r="E236" s="81"/>
      <c r="F236" s="81"/>
      <c r="G236" s="81"/>
      <c r="H236" s="81"/>
      <c r="I236" s="81"/>
      <c r="J236" s="81"/>
      <c r="K236" s="94"/>
      <c r="L236" s="81"/>
      <c r="M236" s="81"/>
      <c r="N236" s="81"/>
      <c r="O236" s="81"/>
      <c r="P236" s="81"/>
      <c r="Q236" s="81"/>
      <c r="R236" s="81"/>
      <c r="S236" s="81"/>
      <c r="T236" s="81"/>
    </row>
    <row r="237" spans="1:21" x14ac:dyDescent="0.2">
      <c r="A237" s="81"/>
      <c r="B237" s="81"/>
      <c r="C237" s="81"/>
      <c r="D237" s="81"/>
      <c r="E237" s="81"/>
      <c r="F237" s="81"/>
      <c r="G237" s="81"/>
      <c r="H237" s="81"/>
      <c r="I237" s="81"/>
      <c r="J237" s="81"/>
      <c r="K237" s="94"/>
      <c r="L237" s="81"/>
      <c r="M237" s="81"/>
      <c r="N237" s="81"/>
      <c r="O237" s="81"/>
      <c r="P237" s="81"/>
      <c r="Q237" s="81"/>
      <c r="R237" s="81"/>
      <c r="S237" s="81"/>
      <c r="T237" s="81"/>
    </row>
    <row r="238" spans="1:21" x14ac:dyDescent="0.2">
      <c r="A238" s="81"/>
      <c r="B238" s="81"/>
      <c r="C238" s="81"/>
      <c r="D238" s="81"/>
      <c r="E238" s="81"/>
      <c r="F238" s="81"/>
      <c r="G238" s="81"/>
      <c r="H238" s="81"/>
      <c r="I238" s="81"/>
      <c r="J238" s="81"/>
      <c r="K238" s="94"/>
      <c r="L238" s="81"/>
      <c r="M238" s="81"/>
      <c r="N238" s="81"/>
      <c r="O238" s="81"/>
      <c r="P238" s="81"/>
      <c r="Q238" s="81"/>
      <c r="R238" s="81"/>
      <c r="S238" s="81"/>
      <c r="T238" s="81"/>
    </row>
    <row r="239" spans="1:21" x14ac:dyDescent="0.2">
      <c r="A239" s="81"/>
      <c r="B239" s="81"/>
      <c r="C239" s="81"/>
      <c r="D239" s="81"/>
      <c r="E239" s="81"/>
      <c r="F239" s="81"/>
      <c r="G239" s="81"/>
      <c r="H239" s="81"/>
      <c r="I239" s="81"/>
      <c r="J239" s="81"/>
      <c r="K239" s="94"/>
      <c r="L239" s="81"/>
      <c r="M239" s="81"/>
      <c r="N239" s="81"/>
      <c r="O239" s="81"/>
      <c r="P239" s="81"/>
      <c r="Q239" s="81"/>
      <c r="R239" s="81"/>
      <c r="S239" s="81"/>
      <c r="T239" s="81"/>
    </row>
    <row r="240" spans="1:21" x14ac:dyDescent="0.2">
      <c r="A240" s="81"/>
      <c r="B240" s="81"/>
      <c r="C240" s="81"/>
      <c r="D240" s="81"/>
      <c r="E240" s="81"/>
      <c r="F240" s="81"/>
      <c r="G240" s="81"/>
      <c r="H240" s="81"/>
      <c r="I240" s="81"/>
      <c r="J240" s="81"/>
      <c r="K240" s="94"/>
      <c r="L240" s="81"/>
      <c r="M240" s="81"/>
      <c r="N240" s="81"/>
      <c r="O240" s="81"/>
      <c r="P240" s="81"/>
      <c r="Q240" s="81"/>
      <c r="R240" s="81"/>
      <c r="S240" s="81"/>
      <c r="T240" s="81"/>
    </row>
    <row r="241" spans="1:20" x14ac:dyDescent="0.2">
      <c r="A241" s="81"/>
      <c r="B241" s="81"/>
      <c r="C241" s="81"/>
      <c r="D241" s="81"/>
      <c r="E241" s="81"/>
      <c r="F241" s="81"/>
      <c r="G241" s="81"/>
      <c r="H241" s="81"/>
      <c r="I241" s="81"/>
      <c r="J241" s="81"/>
      <c r="K241" s="94"/>
      <c r="L241" s="81"/>
      <c r="M241" s="81"/>
      <c r="N241" s="81"/>
      <c r="O241" s="81"/>
      <c r="P241" s="81"/>
      <c r="Q241" s="81"/>
      <c r="R241" s="81"/>
      <c r="S241" s="81"/>
      <c r="T241" s="81"/>
    </row>
    <row r="242" spans="1:20" x14ac:dyDescent="0.2">
      <c r="A242" s="81"/>
      <c r="B242" s="81"/>
      <c r="C242" s="81"/>
      <c r="D242" s="81"/>
      <c r="E242" s="81"/>
      <c r="F242" s="81"/>
      <c r="G242" s="81"/>
      <c r="H242" s="81"/>
      <c r="I242" s="81"/>
      <c r="J242" s="81"/>
      <c r="K242" s="94"/>
      <c r="L242" s="81"/>
      <c r="M242" s="81"/>
      <c r="N242" s="81"/>
      <c r="O242" s="81"/>
      <c r="P242" s="81"/>
      <c r="Q242" s="81"/>
      <c r="R242" s="81"/>
      <c r="S242" s="81"/>
      <c r="T242" s="81"/>
    </row>
    <row r="243" spans="1:20" x14ac:dyDescent="0.2">
      <c r="A243" s="81"/>
      <c r="B243" s="81"/>
      <c r="C243" s="81"/>
      <c r="D243" s="81"/>
      <c r="E243" s="81"/>
      <c r="F243" s="81"/>
      <c r="G243" s="81"/>
      <c r="H243" s="81"/>
      <c r="I243" s="81"/>
      <c r="J243" s="81"/>
      <c r="K243" s="94"/>
      <c r="L243" s="81"/>
      <c r="M243" s="81"/>
      <c r="N243" s="81"/>
      <c r="O243" s="81"/>
      <c r="P243" s="81"/>
      <c r="Q243" s="81"/>
      <c r="R243" s="81"/>
      <c r="S243" s="81"/>
      <c r="T243" s="81"/>
    </row>
    <row r="244" spans="1:20" x14ac:dyDescent="0.2">
      <c r="A244" s="81"/>
      <c r="B244" s="81"/>
      <c r="C244" s="81"/>
      <c r="D244" s="81"/>
      <c r="E244" s="81"/>
      <c r="F244" s="81"/>
      <c r="G244" s="81"/>
      <c r="H244" s="81"/>
      <c r="I244" s="81"/>
      <c r="J244" s="81"/>
      <c r="K244" s="94"/>
      <c r="L244" s="81"/>
      <c r="M244" s="81"/>
      <c r="N244" s="81"/>
      <c r="O244" s="81"/>
      <c r="P244" s="81"/>
      <c r="Q244" s="81"/>
      <c r="R244" s="81"/>
      <c r="S244" s="81"/>
      <c r="T244" s="81"/>
    </row>
    <row r="245" spans="1:20" x14ac:dyDescent="0.2">
      <c r="A245" s="81"/>
      <c r="B245" s="81"/>
      <c r="C245" s="81"/>
      <c r="D245" s="81"/>
      <c r="E245" s="81"/>
      <c r="F245" s="81"/>
      <c r="G245" s="81"/>
      <c r="H245" s="81"/>
      <c r="I245" s="81"/>
      <c r="J245" s="81"/>
      <c r="K245" s="94"/>
      <c r="L245" s="81"/>
      <c r="M245" s="81"/>
      <c r="N245" s="81"/>
      <c r="O245" s="81"/>
      <c r="P245" s="81"/>
      <c r="Q245" s="81"/>
      <c r="R245" s="81"/>
      <c r="S245" s="81"/>
      <c r="T245" s="81"/>
    </row>
    <row r="246" spans="1:20" x14ac:dyDescent="0.2">
      <c r="A246" s="81"/>
      <c r="B246" s="81"/>
      <c r="C246" s="81"/>
      <c r="D246" s="81"/>
      <c r="E246" s="81"/>
      <c r="F246" s="81"/>
      <c r="G246" s="81"/>
      <c r="H246" s="81"/>
      <c r="I246" s="81"/>
      <c r="J246" s="81"/>
      <c r="K246" s="94"/>
      <c r="L246" s="81"/>
      <c r="M246" s="81"/>
      <c r="N246" s="81"/>
      <c r="O246" s="81"/>
      <c r="P246" s="81"/>
      <c r="Q246" s="81"/>
      <c r="R246" s="81"/>
      <c r="S246" s="81"/>
      <c r="T246" s="81"/>
    </row>
    <row r="247" spans="1:20" x14ac:dyDescent="0.2">
      <c r="A247" s="81"/>
      <c r="B247" s="81"/>
      <c r="C247" s="81"/>
      <c r="D247" s="81"/>
      <c r="E247" s="81"/>
      <c r="F247" s="81"/>
      <c r="G247" s="81"/>
      <c r="H247" s="81"/>
      <c r="I247" s="81"/>
      <c r="J247" s="81"/>
      <c r="K247" s="94"/>
      <c r="L247" s="81"/>
      <c r="M247" s="81"/>
      <c r="N247" s="81"/>
      <c r="O247" s="81"/>
      <c r="P247" s="81"/>
      <c r="Q247" s="81"/>
      <c r="R247" s="81"/>
      <c r="S247" s="81"/>
      <c r="T247" s="81"/>
    </row>
    <row r="248" spans="1:20" x14ac:dyDescent="0.2">
      <c r="A248" s="81"/>
      <c r="B248" s="81"/>
      <c r="C248" s="81"/>
      <c r="D248" s="81"/>
      <c r="E248" s="81"/>
      <c r="F248" s="81"/>
      <c r="G248" s="81"/>
      <c r="H248" s="81"/>
      <c r="I248" s="81"/>
      <c r="J248" s="81"/>
      <c r="K248" s="94"/>
      <c r="L248" s="81"/>
      <c r="M248" s="81"/>
      <c r="N248" s="81"/>
      <c r="O248" s="81"/>
      <c r="P248" s="81"/>
      <c r="Q248" s="81"/>
      <c r="R248" s="81"/>
      <c r="S248" s="81"/>
      <c r="T248" s="81"/>
    </row>
    <row r="249" spans="1:20" x14ac:dyDescent="0.2">
      <c r="A249" s="81"/>
      <c r="B249" s="81"/>
      <c r="C249" s="81"/>
      <c r="D249" s="81"/>
      <c r="E249" s="81"/>
      <c r="F249" s="81"/>
      <c r="G249" s="81"/>
      <c r="H249" s="81"/>
      <c r="I249" s="81"/>
      <c r="J249" s="81"/>
      <c r="K249" s="94"/>
      <c r="L249" s="81"/>
      <c r="M249" s="81"/>
      <c r="N249" s="81"/>
      <c r="O249" s="81"/>
      <c r="P249" s="81"/>
      <c r="Q249" s="81"/>
      <c r="R249" s="81"/>
      <c r="S249" s="81"/>
      <c r="T249" s="81"/>
    </row>
    <row r="250" spans="1:20" x14ac:dyDescent="0.2">
      <c r="A250" s="81"/>
      <c r="B250" s="81"/>
      <c r="C250" s="81"/>
      <c r="D250" s="81"/>
      <c r="E250" s="81"/>
      <c r="F250" s="81"/>
      <c r="G250" s="81"/>
      <c r="H250" s="81"/>
      <c r="I250" s="81"/>
      <c r="J250" s="81"/>
      <c r="K250" s="94"/>
      <c r="L250" s="81"/>
      <c r="M250" s="81"/>
      <c r="N250" s="81"/>
      <c r="O250" s="81"/>
      <c r="P250" s="81"/>
      <c r="Q250" s="81"/>
      <c r="R250" s="81"/>
      <c r="S250" s="81"/>
      <c r="T250" s="81"/>
    </row>
    <row r="251" spans="1:20" x14ac:dyDescent="0.2">
      <c r="A251" s="81"/>
      <c r="B251" s="81"/>
      <c r="C251" s="81"/>
      <c r="D251" s="81"/>
      <c r="E251" s="81"/>
      <c r="F251" s="81"/>
      <c r="G251" s="81"/>
      <c r="H251" s="81"/>
      <c r="I251" s="81"/>
      <c r="J251" s="81"/>
      <c r="K251" s="94"/>
      <c r="L251" s="81"/>
      <c r="M251" s="81"/>
      <c r="N251" s="81"/>
      <c r="O251" s="81"/>
      <c r="P251" s="81"/>
      <c r="Q251" s="81"/>
      <c r="R251" s="81"/>
      <c r="S251" s="81"/>
      <c r="T251" s="81"/>
    </row>
    <row r="252" spans="1:20" x14ac:dyDescent="0.2">
      <c r="A252" s="81"/>
      <c r="B252" s="81"/>
      <c r="C252" s="81"/>
      <c r="D252" s="81"/>
      <c r="E252" s="81"/>
      <c r="F252" s="81"/>
      <c r="G252" s="81"/>
      <c r="H252" s="81"/>
      <c r="I252" s="81"/>
      <c r="J252" s="81"/>
      <c r="K252" s="94"/>
      <c r="L252" s="81"/>
      <c r="M252" s="81"/>
      <c r="N252" s="81"/>
      <c r="O252" s="81"/>
      <c r="P252" s="81"/>
      <c r="Q252" s="81"/>
      <c r="R252" s="81"/>
      <c r="S252" s="81"/>
      <c r="T252" s="81"/>
    </row>
    <row r="253" spans="1:20" x14ac:dyDescent="0.2">
      <c r="A253" s="81"/>
      <c r="B253" s="81"/>
      <c r="C253" s="81"/>
      <c r="D253" s="81"/>
      <c r="E253" s="81"/>
      <c r="F253" s="81"/>
      <c r="G253" s="81"/>
      <c r="H253" s="81"/>
      <c r="I253" s="81"/>
      <c r="J253" s="81"/>
      <c r="K253" s="94"/>
      <c r="L253" s="81"/>
      <c r="M253" s="81"/>
      <c r="N253" s="81"/>
      <c r="O253" s="81"/>
      <c r="P253" s="81"/>
      <c r="Q253" s="81"/>
      <c r="R253" s="81"/>
      <c r="S253" s="81"/>
      <c r="T253" s="81"/>
    </row>
    <row r="254" spans="1:20" x14ac:dyDescent="0.2">
      <c r="A254" s="81"/>
      <c r="B254" s="81"/>
      <c r="C254" s="81"/>
      <c r="D254" s="81"/>
      <c r="E254" s="81"/>
      <c r="F254" s="81"/>
      <c r="G254" s="81"/>
      <c r="H254" s="81"/>
      <c r="I254" s="81"/>
      <c r="J254" s="81"/>
      <c r="K254" s="94"/>
      <c r="L254" s="81"/>
      <c r="M254" s="81"/>
      <c r="N254" s="81"/>
      <c r="O254" s="81"/>
      <c r="P254" s="81"/>
      <c r="Q254" s="81"/>
      <c r="R254" s="81"/>
      <c r="S254" s="81"/>
      <c r="T254" s="81"/>
    </row>
    <row r="255" spans="1:20" x14ac:dyDescent="0.2">
      <c r="A255" s="81"/>
      <c r="B255" s="81"/>
      <c r="C255" s="81"/>
      <c r="D255" s="81"/>
      <c r="E255" s="81"/>
      <c r="F255" s="81"/>
      <c r="G255" s="81"/>
      <c r="H255" s="81"/>
      <c r="I255" s="81"/>
      <c r="J255" s="81"/>
      <c r="K255" s="94"/>
      <c r="L255" s="81"/>
      <c r="M255" s="81"/>
      <c r="N255" s="81"/>
      <c r="O255" s="81"/>
      <c r="P255" s="81"/>
      <c r="Q255" s="81"/>
      <c r="R255" s="81"/>
      <c r="S255" s="81"/>
      <c r="T255" s="81"/>
    </row>
    <row r="256" spans="1:20" x14ac:dyDescent="0.2">
      <c r="A256" s="81"/>
      <c r="B256" s="81"/>
      <c r="C256" s="81"/>
      <c r="D256" s="81"/>
      <c r="E256" s="81"/>
      <c r="F256" s="81"/>
      <c r="G256" s="81"/>
      <c r="H256" s="81"/>
      <c r="I256" s="81"/>
      <c r="J256" s="81"/>
      <c r="K256" s="94"/>
      <c r="L256" s="81"/>
      <c r="M256" s="81"/>
      <c r="N256" s="81"/>
      <c r="O256" s="81"/>
      <c r="P256" s="81"/>
      <c r="Q256" s="81"/>
      <c r="R256" s="81"/>
      <c r="S256" s="81"/>
      <c r="T256" s="81"/>
    </row>
    <row r="257" spans="1:20" x14ac:dyDescent="0.2">
      <c r="A257" s="81"/>
      <c r="B257" s="81"/>
      <c r="C257" s="81"/>
      <c r="D257" s="81"/>
      <c r="E257" s="81"/>
      <c r="F257" s="81"/>
      <c r="G257" s="81"/>
      <c r="H257" s="81"/>
      <c r="I257" s="81"/>
      <c r="J257" s="81"/>
      <c r="K257" s="94"/>
      <c r="L257" s="81"/>
      <c r="M257" s="81"/>
      <c r="N257" s="81"/>
      <c r="O257" s="81"/>
      <c r="P257" s="81"/>
      <c r="Q257" s="81"/>
      <c r="R257" s="81"/>
      <c r="S257" s="81"/>
      <c r="T257" s="81"/>
    </row>
    <row r="258" spans="1:20" x14ac:dyDescent="0.2">
      <c r="A258" s="81"/>
      <c r="B258" s="81"/>
      <c r="C258" s="81"/>
      <c r="D258" s="81"/>
      <c r="E258" s="81"/>
      <c r="F258" s="81"/>
      <c r="G258" s="81"/>
      <c r="H258" s="81"/>
      <c r="I258" s="81"/>
      <c r="J258" s="81"/>
      <c r="K258" s="94"/>
      <c r="L258" s="81"/>
      <c r="M258" s="81"/>
      <c r="N258" s="81"/>
      <c r="O258" s="81"/>
      <c r="P258" s="81"/>
      <c r="Q258" s="81"/>
      <c r="R258" s="81"/>
      <c r="S258" s="81"/>
      <c r="T258" s="81"/>
    </row>
    <row r="259" spans="1:20" x14ac:dyDescent="0.2">
      <c r="A259" s="81"/>
      <c r="B259" s="81"/>
      <c r="C259" s="81"/>
      <c r="D259" s="81"/>
      <c r="E259" s="81"/>
      <c r="F259" s="81"/>
      <c r="G259" s="81"/>
      <c r="H259" s="81"/>
      <c r="I259" s="81"/>
      <c r="J259" s="81"/>
      <c r="K259" s="94"/>
      <c r="L259" s="81"/>
      <c r="M259" s="81"/>
      <c r="N259" s="81"/>
      <c r="O259" s="81"/>
      <c r="P259" s="81"/>
      <c r="Q259" s="81"/>
      <c r="R259" s="81"/>
      <c r="S259" s="81"/>
      <c r="T259" s="81"/>
    </row>
    <row r="260" spans="1:20" x14ac:dyDescent="0.2">
      <c r="A260" s="81"/>
      <c r="B260" s="81"/>
      <c r="C260" s="81"/>
      <c r="D260" s="81"/>
      <c r="E260" s="81"/>
      <c r="F260" s="81"/>
      <c r="G260" s="81"/>
      <c r="H260" s="81"/>
      <c r="I260" s="81"/>
      <c r="J260" s="81"/>
      <c r="K260" s="94"/>
      <c r="L260" s="81"/>
      <c r="M260" s="81"/>
      <c r="N260" s="81"/>
      <c r="O260" s="81"/>
      <c r="P260" s="81"/>
      <c r="Q260" s="81"/>
      <c r="R260" s="81"/>
      <c r="S260" s="81"/>
      <c r="T260" s="81"/>
    </row>
    <row r="261" spans="1:20" x14ac:dyDescent="0.2">
      <c r="A261" s="81"/>
      <c r="B261" s="81"/>
      <c r="C261" s="81"/>
      <c r="D261" s="81"/>
      <c r="E261" s="81"/>
      <c r="F261" s="81"/>
      <c r="G261" s="81"/>
      <c r="H261" s="81"/>
      <c r="I261" s="81"/>
      <c r="J261" s="81"/>
      <c r="K261" s="94"/>
      <c r="L261" s="81"/>
      <c r="M261" s="81"/>
      <c r="N261" s="81"/>
      <c r="O261" s="81"/>
      <c r="P261" s="81"/>
      <c r="Q261" s="81"/>
      <c r="R261" s="81"/>
      <c r="S261" s="81"/>
      <c r="T261" s="81"/>
    </row>
    <row r="262" spans="1:20" x14ac:dyDescent="0.2">
      <c r="A262" s="81"/>
      <c r="B262" s="81"/>
      <c r="C262" s="81"/>
      <c r="D262" s="81"/>
      <c r="E262" s="81"/>
      <c r="F262" s="81"/>
      <c r="G262" s="81"/>
      <c r="H262" s="81"/>
      <c r="I262" s="81"/>
      <c r="J262" s="81"/>
      <c r="K262" s="94"/>
      <c r="L262" s="81"/>
      <c r="M262" s="81"/>
      <c r="N262" s="81"/>
      <c r="O262" s="81"/>
      <c r="P262" s="81"/>
      <c r="Q262" s="81"/>
      <c r="R262" s="81"/>
      <c r="S262" s="81"/>
      <c r="T262" s="81"/>
    </row>
    <row r="263" spans="1:20" x14ac:dyDescent="0.2">
      <c r="A263" s="81"/>
      <c r="B263" s="81"/>
      <c r="C263" s="81"/>
      <c r="D263" s="81"/>
      <c r="E263" s="81"/>
      <c r="F263" s="81"/>
      <c r="G263" s="81"/>
      <c r="H263" s="81"/>
      <c r="I263" s="81"/>
      <c r="J263" s="81"/>
      <c r="K263" s="94"/>
      <c r="L263" s="81"/>
      <c r="M263" s="81"/>
      <c r="N263" s="81"/>
      <c r="O263" s="81"/>
      <c r="P263" s="81"/>
      <c r="Q263" s="81"/>
      <c r="R263" s="81"/>
      <c r="S263" s="81"/>
      <c r="T263" s="81"/>
    </row>
    <row r="264" spans="1:20" x14ac:dyDescent="0.2">
      <c r="A264" s="81"/>
      <c r="B264" s="81"/>
      <c r="C264" s="81"/>
      <c r="D264" s="81"/>
      <c r="E264" s="81"/>
      <c r="F264" s="81"/>
      <c r="G264" s="81"/>
      <c r="H264" s="81"/>
      <c r="I264" s="81"/>
      <c r="J264" s="81"/>
      <c r="K264" s="94"/>
      <c r="L264" s="81"/>
      <c r="M264" s="81"/>
      <c r="N264" s="81"/>
      <c r="O264" s="81"/>
      <c r="P264" s="81"/>
      <c r="Q264" s="81"/>
      <c r="R264" s="81"/>
      <c r="S264" s="81"/>
      <c r="T264" s="81"/>
    </row>
    <row r="265" spans="1:20" x14ac:dyDescent="0.2">
      <c r="A265" s="81"/>
      <c r="B265" s="81"/>
      <c r="C265" s="81"/>
      <c r="D265" s="81"/>
      <c r="E265" s="81"/>
      <c r="F265" s="81"/>
      <c r="G265" s="81"/>
      <c r="H265" s="81"/>
      <c r="I265" s="81"/>
      <c r="J265" s="81"/>
      <c r="K265" s="94"/>
      <c r="L265" s="81"/>
      <c r="M265" s="81"/>
      <c r="N265" s="81"/>
      <c r="O265" s="81"/>
      <c r="P265" s="81"/>
      <c r="Q265" s="81"/>
      <c r="R265" s="81"/>
      <c r="S265" s="81"/>
      <c r="T265" s="81"/>
    </row>
    <row r="266" spans="1:20" x14ac:dyDescent="0.2">
      <c r="A266" s="81"/>
      <c r="B266" s="81"/>
      <c r="C266" s="81"/>
      <c r="D266" s="81"/>
      <c r="E266" s="81"/>
      <c r="F266" s="81"/>
      <c r="G266" s="81"/>
      <c r="H266" s="81"/>
      <c r="I266" s="81"/>
      <c r="J266" s="81"/>
      <c r="K266" s="94"/>
      <c r="L266" s="81"/>
      <c r="M266" s="81"/>
      <c r="N266" s="81"/>
      <c r="O266" s="81"/>
      <c r="P266" s="81"/>
      <c r="Q266" s="81"/>
      <c r="R266" s="81"/>
      <c r="S266" s="81"/>
      <c r="T266" s="81"/>
    </row>
    <row r="267" spans="1:20" x14ac:dyDescent="0.2">
      <c r="A267" s="81"/>
      <c r="B267" s="81"/>
      <c r="C267" s="81"/>
      <c r="D267" s="81"/>
      <c r="E267" s="81"/>
      <c r="F267" s="81"/>
      <c r="G267" s="81"/>
      <c r="H267" s="81"/>
      <c r="I267" s="81"/>
      <c r="J267" s="81"/>
      <c r="K267" s="94"/>
      <c r="L267" s="81"/>
      <c r="M267" s="81"/>
      <c r="N267" s="81"/>
      <c r="O267" s="81"/>
      <c r="P267" s="81"/>
      <c r="Q267" s="81"/>
      <c r="R267" s="81"/>
      <c r="S267" s="81"/>
      <c r="T267" s="81"/>
    </row>
    <row r="268" spans="1:20" x14ac:dyDescent="0.2">
      <c r="A268" s="81"/>
      <c r="B268" s="81"/>
      <c r="C268" s="81"/>
      <c r="D268" s="81"/>
      <c r="E268" s="81"/>
      <c r="F268" s="81"/>
      <c r="G268" s="81"/>
      <c r="H268" s="81"/>
      <c r="I268" s="81"/>
      <c r="J268" s="81"/>
      <c r="K268" s="94"/>
      <c r="L268" s="81"/>
      <c r="M268" s="81"/>
      <c r="N268" s="81"/>
      <c r="O268" s="81"/>
      <c r="P268" s="81"/>
      <c r="Q268" s="81"/>
      <c r="R268" s="81"/>
      <c r="S268" s="81"/>
      <c r="T268" s="81"/>
    </row>
    <row r="269" spans="1:20" x14ac:dyDescent="0.2">
      <c r="A269" s="81"/>
      <c r="B269" s="81"/>
      <c r="C269" s="81"/>
      <c r="D269" s="81"/>
      <c r="E269" s="81"/>
      <c r="F269" s="81"/>
      <c r="G269" s="81"/>
      <c r="H269" s="81"/>
      <c r="I269" s="81"/>
      <c r="J269" s="81"/>
      <c r="K269" s="94"/>
      <c r="L269" s="81"/>
      <c r="M269" s="81"/>
      <c r="N269" s="81"/>
      <c r="O269" s="81"/>
      <c r="P269" s="81"/>
      <c r="Q269" s="81"/>
      <c r="R269" s="81"/>
      <c r="S269" s="81"/>
      <c r="T269" s="81"/>
    </row>
    <row r="270" spans="1:20" x14ac:dyDescent="0.2">
      <c r="A270" s="81"/>
      <c r="B270" s="81"/>
      <c r="C270" s="81"/>
      <c r="D270" s="81"/>
      <c r="E270" s="81"/>
      <c r="F270" s="81"/>
      <c r="G270" s="81"/>
      <c r="H270" s="81"/>
      <c r="I270" s="81"/>
      <c r="J270" s="81"/>
      <c r="K270" s="94"/>
      <c r="L270" s="81"/>
      <c r="M270" s="81"/>
      <c r="N270" s="81"/>
      <c r="O270" s="81"/>
      <c r="P270" s="81"/>
      <c r="Q270" s="81"/>
      <c r="R270" s="81"/>
      <c r="S270" s="81"/>
      <c r="T270" s="81"/>
    </row>
    <row r="271" spans="1:20" x14ac:dyDescent="0.2">
      <c r="A271" s="81"/>
      <c r="B271" s="81"/>
      <c r="C271" s="81"/>
      <c r="D271" s="81"/>
      <c r="E271" s="81"/>
      <c r="F271" s="81"/>
      <c r="G271" s="81"/>
      <c r="H271" s="81"/>
      <c r="I271" s="81"/>
      <c r="J271" s="81"/>
      <c r="K271" s="94"/>
      <c r="L271" s="81"/>
      <c r="M271" s="81"/>
      <c r="N271" s="81"/>
      <c r="O271" s="81"/>
      <c r="P271" s="81"/>
      <c r="Q271" s="81"/>
      <c r="R271" s="81"/>
      <c r="S271" s="81"/>
      <c r="T271" s="81"/>
    </row>
  </sheetData>
  <sheetProtection sheet="1" objects="1" scenarios="1" selectLockedCells="1"/>
  <mergeCells count="54">
    <mergeCell ref="K37:M39"/>
    <mergeCell ref="C145:E145"/>
    <mergeCell ref="G145:K145"/>
    <mergeCell ref="M145:Q145"/>
    <mergeCell ref="M138:Q138"/>
    <mergeCell ref="C138:E138"/>
    <mergeCell ref="G130:K130"/>
    <mergeCell ref="M130:Q130"/>
    <mergeCell ref="G131:K131"/>
    <mergeCell ref="G132:K132"/>
    <mergeCell ref="G133:K133"/>
    <mergeCell ref="G134:K134"/>
    <mergeCell ref="G135:K135"/>
    <mergeCell ref="G136:K136"/>
    <mergeCell ref="G138:K138"/>
    <mergeCell ref="C131:E131"/>
    <mergeCell ref="C132:E132"/>
    <mergeCell ref="C133:E133"/>
    <mergeCell ref="C134:E134"/>
    <mergeCell ref="C135:E135"/>
    <mergeCell ref="C136:E136"/>
    <mergeCell ref="M132:Q132"/>
    <mergeCell ref="M133:Q133"/>
    <mergeCell ref="M134:Q134"/>
    <mergeCell ref="M135:Q135"/>
    <mergeCell ref="M136:Q136"/>
    <mergeCell ref="C140:E140"/>
    <mergeCell ref="G140:K140"/>
    <mergeCell ref="M140:Q140"/>
    <mergeCell ref="C142:E142"/>
    <mergeCell ref="G142:K142"/>
    <mergeCell ref="M147:Q147"/>
    <mergeCell ref="C143:E143"/>
    <mergeCell ref="G143:K143"/>
    <mergeCell ref="M143:Q143"/>
    <mergeCell ref="C144:E144"/>
    <mergeCell ref="G144:K144"/>
    <mergeCell ref="M144:Q144"/>
    <mergeCell ref="C153:E153"/>
    <mergeCell ref="G153:K153"/>
    <mergeCell ref="M153:Q153"/>
    <mergeCell ref="C37:E39"/>
    <mergeCell ref="F37:H39"/>
    <mergeCell ref="C149:E149"/>
    <mergeCell ref="G149:K149"/>
    <mergeCell ref="M149:Q149"/>
    <mergeCell ref="C151:E151"/>
    <mergeCell ref="G151:K151"/>
    <mergeCell ref="M151:Q151"/>
    <mergeCell ref="C146:E146"/>
    <mergeCell ref="G146:K146"/>
    <mergeCell ref="M146:Q146"/>
    <mergeCell ref="C147:E147"/>
    <mergeCell ref="G147:K147"/>
  </mergeCells>
  <pageMargins left="0.23622047244094491" right="0.23622047244094491" top="0.39370078740157483" bottom="0.35433070866141736" header="0.31496062992125984" footer="0.31496062992125984"/>
  <pageSetup paperSize="9" scale="74" fitToHeight="0" orientation="landscape" r:id="rId1"/>
  <rowBreaks count="2" manualBreakCount="2">
    <brk id="153" max="20" man="1"/>
    <brk id="212" max="2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486F1AEDA1EE4D96E01CA09206338C" ma:contentTypeVersion="15" ma:contentTypeDescription="Een nieuw document maken." ma:contentTypeScope="" ma:versionID="12e2289c95cea4d5102923624c604857">
  <xsd:schema xmlns:xsd="http://www.w3.org/2001/XMLSchema" xmlns:xs="http://www.w3.org/2001/XMLSchema" xmlns:p="http://schemas.microsoft.com/office/2006/metadata/properties" xmlns:ns3="3a96c7f8-b740-474f-a9a8-3cfcf2dc2f2b" xmlns:ns4="412c49c5-5890-4b8f-b152-a9ae08a5f50d" targetNamespace="http://schemas.microsoft.com/office/2006/metadata/properties" ma:root="true" ma:fieldsID="b2b21b973028b6f897334d5c08985eaf" ns3:_="" ns4:_="">
    <xsd:import namespace="3a96c7f8-b740-474f-a9a8-3cfcf2dc2f2b"/>
    <xsd:import namespace="412c49c5-5890-4b8f-b152-a9ae08a5f50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_activity" minOccurs="0"/>
                <xsd:element ref="ns3:MediaServiceObjectDetectorVersions" minOccurs="0"/>
                <xsd:element ref="ns3:MediaServiceDateTaken" minOccurs="0"/>
                <xsd:element ref="ns3:MediaServiceSystemTag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96c7f8-b740-474f-a9a8-3cfcf2dc2f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2c49c5-5890-4b8f-b152-a9ae08a5f50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SharingHintHash" ma:index="12"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a96c7f8-b740-474f-a9a8-3cfcf2dc2f2b" xsi:nil="true"/>
  </documentManagement>
</p:properties>
</file>

<file path=customXml/itemProps1.xml><?xml version="1.0" encoding="utf-8"?>
<ds:datastoreItem xmlns:ds="http://schemas.openxmlformats.org/officeDocument/2006/customXml" ds:itemID="{5751BC75-488A-4191-8C03-D7C2B571D5DE}">
  <ds:schemaRefs>
    <ds:schemaRef ds:uri="http://schemas.microsoft.com/sharepoint/v3/contenttype/forms"/>
  </ds:schemaRefs>
</ds:datastoreItem>
</file>

<file path=customXml/itemProps2.xml><?xml version="1.0" encoding="utf-8"?>
<ds:datastoreItem xmlns:ds="http://schemas.openxmlformats.org/officeDocument/2006/customXml" ds:itemID="{F0AB9C65-1EFB-4B03-B6F2-4DD3B8FE28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96c7f8-b740-474f-a9a8-3cfcf2dc2f2b"/>
    <ds:schemaRef ds:uri="412c49c5-5890-4b8f-b152-a9ae08a5f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A5ED79-74F8-45B6-9A97-8A6144EE69CB}">
  <ds:schemaRefs>
    <ds:schemaRef ds:uri="http://purl.org/dc/terms/"/>
    <ds:schemaRef ds:uri="http://schemas.openxmlformats.org/package/2006/metadata/core-properties"/>
    <ds:schemaRef ds:uri="http://purl.org/dc/dcmitype/"/>
    <ds:schemaRef ds:uri="412c49c5-5890-4b8f-b152-a9ae08a5f50d"/>
    <ds:schemaRef ds:uri="http://schemas.microsoft.com/office/2006/documentManagement/types"/>
    <ds:schemaRef ds:uri="http://purl.org/dc/elements/1.1/"/>
    <ds:schemaRef ds:uri="http://schemas.microsoft.com/office/2006/metadata/properties"/>
    <ds:schemaRef ds:uri="3a96c7f8-b740-474f-a9a8-3cfcf2dc2f2b"/>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18</vt:i4>
      </vt:variant>
    </vt:vector>
  </HeadingPairs>
  <TitlesOfParts>
    <vt:vector size="19" baseType="lpstr">
      <vt:lpstr>WIA Aanvullingen</vt:lpstr>
      <vt:lpstr>'Indicatie inkomen bij ziekte'!Afdrukbereik</vt:lpstr>
      <vt:lpstr>'WIA Aanvullingen'!Afdrukbereik</vt:lpstr>
      <vt:lpstr>Excedent1</vt:lpstr>
      <vt:lpstr>Excedent2</vt:lpstr>
      <vt:lpstr>Grafiek_1</vt:lpstr>
      <vt:lpstr>grafiek_sc1</vt:lpstr>
      <vt:lpstr>grafiek_sc2</vt:lpstr>
      <vt:lpstr>Hiaatloon1</vt:lpstr>
      <vt:lpstr>Hiaatloon2</vt:lpstr>
      <vt:lpstr>Inkomen</vt:lpstr>
      <vt:lpstr>Max_SV</vt:lpstr>
      <vt:lpstr>Min_loon</vt:lpstr>
      <vt:lpstr>tekst_1</vt:lpstr>
      <vt:lpstr>tekst1</vt:lpstr>
      <vt:lpstr>tekst2</vt:lpstr>
      <vt:lpstr>tekst3</vt:lpstr>
      <vt:lpstr>tekst4</vt:lpstr>
      <vt:lpstr>test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Bos</dc:creator>
  <cp:lastModifiedBy>Mark Bos</cp:lastModifiedBy>
  <cp:lastPrinted>2024-10-24T13:30:27Z</cp:lastPrinted>
  <dcterms:created xsi:type="dcterms:W3CDTF">2023-12-14T07:14:59Z</dcterms:created>
  <dcterms:modified xsi:type="dcterms:W3CDTF">2025-01-21T09:28:28Z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0x01010031486F1AEDA1EE4D96E01CA09206338C</vt:lpwstr>
  </property>
</Properties>
</file>